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Quarter Close Tables\Supreme Court\Sep 2021\uscourts.gov\"/>
    </mc:Choice>
  </mc:AlternateContent>
  <xr:revisionPtr revIDLastSave="0" documentId="8_{16D5DFE4-E664-46C8-B299-C92F492D693D}" xr6:coauthVersionLast="46" xr6:coauthVersionMax="46" xr10:uidLastSave="{00000000-0000-0000-0000-000000000000}"/>
  <bookViews>
    <workbookView xWindow="28680" yWindow="-120" windowWidth="29040" windowHeight="15840" xr2:uid="{F83548B7-883C-42C6-9AF1-A63877EBF197}"/>
  </bookViews>
  <sheets>
    <sheet name="Formatted 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5" i="1" l="1"/>
  <c r="T45" i="1"/>
  <c r="P45" i="1"/>
  <c r="L45" i="1"/>
  <c r="H45" i="1"/>
  <c r="X44" i="1"/>
  <c r="T44" i="1"/>
  <c r="P44" i="1"/>
  <c r="L44" i="1"/>
  <c r="H44" i="1"/>
  <c r="X43" i="1"/>
  <c r="T43" i="1"/>
  <c r="P43" i="1"/>
  <c r="L43" i="1"/>
  <c r="H43" i="1"/>
  <c r="X42" i="1"/>
  <c r="T42" i="1"/>
  <c r="P42" i="1"/>
  <c r="L42" i="1"/>
  <c r="H42" i="1"/>
  <c r="X41" i="1"/>
  <c r="T41" i="1"/>
  <c r="P41" i="1"/>
  <c r="L41" i="1"/>
  <c r="H41" i="1"/>
  <c r="X40" i="1"/>
  <c r="T40" i="1"/>
  <c r="P40" i="1"/>
  <c r="L40" i="1"/>
  <c r="H40" i="1"/>
  <c r="X39" i="1"/>
  <c r="T39" i="1"/>
  <c r="P39" i="1"/>
  <c r="L39" i="1"/>
  <c r="H39" i="1"/>
  <c r="W36" i="1"/>
  <c r="S36" i="1"/>
  <c r="O36" i="1"/>
  <c r="K36" i="1"/>
  <c r="G36" i="1"/>
  <c r="W33" i="1"/>
  <c r="Q33" i="1"/>
  <c r="K33" i="1"/>
  <c r="E33" i="1"/>
  <c r="W32" i="1"/>
  <c r="Q32" i="1"/>
  <c r="K32" i="1"/>
  <c r="E32" i="1"/>
  <c r="W31" i="1"/>
  <c r="Q31" i="1"/>
  <c r="K31" i="1"/>
  <c r="E31" i="1"/>
  <c r="B30" i="1"/>
  <c r="W28" i="1"/>
  <c r="Q28" i="1"/>
  <c r="K28" i="1"/>
  <c r="E28" i="1"/>
  <c r="A28" i="1" s="1"/>
  <c r="W27" i="1"/>
  <c r="Q27" i="1"/>
  <c r="K27" i="1"/>
  <c r="E27" i="1"/>
  <c r="A27" i="1"/>
  <c r="W26" i="1"/>
  <c r="Q26" i="1"/>
  <c r="K26" i="1"/>
  <c r="E26" i="1"/>
  <c r="A26" i="1" s="1"/>
  <c r="B25" i="1"/>
  <c r="W23" i="1"/>
  <c r="Q23" i="1"/>
  <c r="K23" i="1"/>
  <c r="E23" i="1"/>
  <c r="A23" i="1" s="1"/>
  <c r="W22" i="1"/>
  <c r="Q22" i="1"/>
  <c r="K22" i="1"/>
  <c r="E22" i="1"/>
  <c r="A22" i="1" s="1"/>
  <c r="W21" i="1"/>
  <c r="Q21" i="1"/>
  <c r="K21" i="1"/>
  <c r="E21" i="1"/>
  <c r="A21" i="1" s="1"/>
  <c r="A48" i="1" s="1"/>
  <c r="B20" i="1"/>
  <c r="W18" i="1"/>
  <c r="Q18" i="1"/>
  <c r="K18" i="1"/>
  <c r="E18" i="1"/>
  <c r="W17" i="1"/>
  <c r="Q17" i="1"/>
  <c r="K17" i="1"/>
  <c r="E17" i="1"/>
  <c r="W16" i="1"/>
  <c r="Q16" i="1"/>
  <c r="K16" i="1"/>
  <c r="E16" i="1"/>
  <c r="B15" i="1"/>
  <c r="W13" i="1"/>
  <c r="Q13" i="1"/>
  <c r="K13" i="1"/>
  <c r="E13" i="1"/>
  <c r="W12" i="1"/>
  <c r="Q12" i="1"/>
  <c r="K12" i="1"/>
  <c r="E12" i="1"/>
  <c r="W11" i="1"/>
  <c r="Q11" i="1"/>
  <c r="K11" i="1"/>
  <c r="E11" i="1"/>
  <c r="B10" i="1"/>
  <c r="A4" i="1"/>
</calcChain>
</file>

<file path=xl/sharedStrings.xml><?xml version="1.0" encoding="utf-8"?>
<sst xmlns="http://schemas.openxmlformats.org/spreadsheetml/2006/main" count="26" uniqueCount="19">
  <si>
    <t>Table A-1.</t>
  </si>
  <si>
    <t>Supreme Court of the United States—Cases on Docket, Disposed of, and Remaining on Docket</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</si>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</sst>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164" fontId="2" fillId="0" borderId="0" xfId="1" applyNumberFormat="1" applyFont="1" applyAlignment="1">
      <alignment horizontal="center"/>
    </xf>
    <xf numFmtId="0" fontId="4" fillId="0" borderId="0" xfId="0" applyFont="1" applyAlignment="1">
      <alignment horizontal="left"/>
    </xf>
    <xf numFmtId="0" fontId="2" fillId="0" borderId="0" xfId="0" applyFont="1" applyAlignment="1">
      <alignment horizontal="left"/>
    </xf>
    <xf numFmtId="164" fontId="2" fillId="0" borderId="0" xfId="1" applyNumberFormat="1" applyFont="1" applyFill="1" applyAlignment="1" applyProtection="1">
      <alignment horizontal="right"/>
    </xf>
    <xf numFmtId="0" fontId="2" fillId="0" borderId="0" xfId="0" applyFont="1" applyAlignment="1">
      <alignment horizontal="center"/>
    </xf>
    <xf numFmtId="164" fontId="2" fillId="0" borderId="0" xfId="1" applyNumberFormat="1" applyFont="1" applyFill="1" applyAlignment="1">
      <alignment horizontal="right"/>
    </xf>
    <xf numFmtId="164" fontId="2" fillId="0" borderId="0" xfId="1" applyNumberFormat="1" applyFont="1" applyFill="1" applyAlignment="1">
      <alignment horizontal="center"/>
    </xf>
    <xf numFmtId="164" fontId="2" fillId="0" borderId="0" xfId="1" applyNumberFormat="1" applyFont="1" applyAlignment="1">
      <alignment horizontal="right"/>
    </xf>
    <xf numFmtId="0" fontId="4"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64" fontId="2" fillId="0" borderId="0" xfId="1" applyNumberFormat="1" applyFont="1"/>
    <xf numFmtId="164" fontId="2" fillId="0" borderId="0" xfId="1" applyNumberFormat="1" applyFont="1" applyFill="1"/>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center"/>
    </xf>
    <xf numFmtId="0" fontId="2" fillId="0" borderId="0" xfId="0" applyFont="1" applyAlignment="1">
      <alignment horizontal="left" wrapText="1"/>
    </xf>
  </cellXfs>
  <cellStyles count="2">
    <cellStyle name="Comma" xfId="1" builtinId="3"/>
    <cellStyle name="Normal"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904BC076-F22B-4F19-8990-41D4EB946370}"/>
            </a:ext>
          </a:extLst>
        </xdr:cNvPr>
        <xdr:cNvCxnSpPr/>
      </xdr:nvCxnSpPr>
      <xdr:spPr>
        <a:xfrm>
          <a:off x="28574" y="47625"/>
          <a:ext cx="7726362"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20Close%20Tables/Supreme%20Court/Sep%202021/SCOTUS%20Table%20A-1%20Templat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Tab 28 Curr Term"/>
      <sheetName val="Raw Data - Tab 1 Next Term"/>
      <sheetName val="Raw Data - Prior Year A-1"/>
    </sheetNames>
    <sheetDataSet>
      <sheetData sheetId="0"/>
      <sheetData sheetId="1"/>
      <sheetData sheetId="2"/>
      <sheetData sheetId="3">
        <row r="1">
          <cell r="A1" t="str">
            <v xml:space="preserve"> October Term, 2020</v>
          </cell>
        </row>
        <row r="2">
          <cell r="A2" t="str">
            <v>Statistical Sheet No. 28</v>
          </cell>
        </row>
        <row r="3">
          <cell r="A3">
            <v>44379</v>
          </cell>
        </row>
        <row r="4">
          <cell r="B4" t="str">
            <v xml:space="preserve">        FINAL</v>
          </cell>
        </row>
        <row r="5">
          <cell r="B5" t="str">
            <v xml:space="preserve">      Revised</v>
          </cell>
          <cell r="E5" t="str">
            <v>TERM</v>
          </cell>
        </row>
        <row r="6">
          <cell r="C6" t="str">
            <v>CURRENT</v>
          </cell>
          <cell r="E6" t="str">
            <v>LAST</v>
          </cell>
          <cell r="G6" t="str">
            <v>O.T. 18</v>
          </cell>
        </row>
        <row r="7">
          <cell r="A7" t="str">
            <v>PAID CASES</v>
          </cell>
        </row>
        <row r="8">
          <cell r="A8">
            <v>1</v>
          </cell>
          <cell r="B8" t="str">
            <v>Cases from prior term………………………</v>
          </cell>
          <cell r="C8">
            <v>309</v>
          </cell>
          <cell r="E8">
            <v>327</v>
          </cell>
          <cell r="G8">
            <v>322</v>
          </cell>
        </row>
        <row r="9">
          <cell r="A9">
            <v>2</v>
          </cell>
          <cell r="B9" t="str">
            <v>Cases docketed during term……………..</v>
          </cell>
          <cell r="C9">
            <v>1828</v>
          </cell>
          <cell r="E9">
            <v>1478</v>
          </cell>
          <cell r="G9">
            <v>1593</v>
          </cell>
        </row>
        <row r="10">
          <cell r="A10">
            <v>3</v>
          </cell>
          <cell r="B10" t="str">
            <v>Cases on docket…………………………</v>
          </cell>
          <cell r="C10">
            <v>2137</v>
          </cell>
          <cell r="E10">
            <v>1818</v>
          </cell>
          <cell r="G10">
            <v>1915</v>
          </cell>
        </row>
        <row r="11">
          <cell r="A11">
            <v>4</v>
          </cell>
          <cell r="B11" t="str">
            <v>Cases granted review and carried over….</v>
          </cell>
          <cell r="C11">
            <v>35</v>
          </cell>
          <cell r="D11" t="str">
            <v>(29h)</v>
          </cell>
          <cell r="E11">
            <v>46</v>
          </cell>
          <cell r="F11" t="str">
            <v>(36h)</v>
          </cell>
          <cell r="G11">
            <v>34</v>
          </cell>
          <cell r="H11" t="str">
            <v>(33h)</v>
          </cell>
        </row>
        <row r="12">
          <cell r="A12">
            <v>5</v>
          </cell>
          <cell r="B12" t="str">
            <v>Cases denied, dismissed or withdrawn….</v>
          </cell>
          <cell r="C12">
            <v>1629</v>
          </cell>
          <cell r="E12">
            <v>1402</v>
          </cell>
          <cell r="G12">
            <v>1497</v>
          </cell>
        </row>
        <row r="13">
          <cell r="A13">
            <v>6</v>
          </cell>
          <cell r="B13" t="str">
            <v>Cases summarily decided………………...</v>
          </cell>
          <cell r="C13">
            <v>57</v>
          </cell>
          <cell r="E13">
            <v>35</v>
          </cell>
          <cell r="G13">
            <v>24</v>
          </cell>
        </row>
        <row r="14">
          <cell r="A14">
            <v>7</v>
          </cell>
          <cell r="B14" t="str">
            <v>Cases granted review this term…………..</v>
          </cell>
          <cell r="C14">
            <v>69</v>
          </cell>
          <cell r="D14" t="str">
            <v>(56h)</v>
          </cell>
          <cell r="E14">
            <v>56</v>
          </cell>
          <cell r="F14" t="str">
            <v>(44h)</v>
          </cell>
          <cell r="G14">
            <v>77</v>
          </cell>
          <cell r="H14" t="str">
            <v>(66h)</v>
          </cell>
        </row>
        <row r="15">
          <cell r="A15">
            <v>8</v>
          </cell>
          <cell r="B15" t="str">
            <v>Cases acted upon………………………….</v>
          </cell>
          <cell r="C15">
            <v>1782</v>
          </cell>
          <cell r="E15">
            <v>1544</v>
          </cell>
          <cell r="G15">
            <v>1629</v>
          </cell>
        </row>
        <row r="16">
          <cell r="A16">
            <v>9</v>
          </cell>
          <cell r="B16" t="str">
            <v>Cases not acted upon……………………</v>
          </cell>
          <cell r="C16">
            <v>355</v>
          </cell>
          <cell r="E16">
            <v>274</v>
          </cell>
          <cell r="G16">
            <v>281</v>
          </cell>
        </row>
        <row r="18">
          <cell r="A18" t="str">
            <v>IN FORMA PAUPERIS CASES</v>
          </cell>
        </row>
        <row r="19">
          <cell r="A19">
            <v>10</v>
          </cell>
          <cell r="B19" t="str">
            <v>Cases from prior term………………………</v>
          </cell>
          <cell r="C19">
            <v>505</v>
          </cell>
          <cell r="E19">
            <v>760</v>
          </cell>
          <cell r="G19">
            <v>855</v>
          </cell>
        </row>
        <row r="20">
          <cell r="A20">
            <v>11</v>
          </cell>
          <cell r="B20" t="str">
            <v>Cases docketed during term……………….</v>
          </cell>
          <cell r="C20">
            <v>3477</v>
          </cell>
          <cell r="E20">
            <v>3930</v>
          </cell>
          <cell r="G20">
            <v>4847</v>
          </cell>
        </row>
        <row r="21">
          <cell r="A21">
            <v>12</v>
          </cell>
          <cell r="B21" t="str">
            <v>Cases on docket…………………………….</v>
          </cell>
          <cell r="C21">
            <v>3982</v>
          </cell>
          <cell r="E21">
            <v>4706</v>
          </cell>
          <cell r="G21">
            <v>5702</v>
          </cell>
        </row>
        <row r="22">
          <cell r="A22">
            <v>13</v>
          </cell>
          <cell r="B22" t="str">
            <v>Cases granted review and carried over…..</v>
          </cell>
          <cell r="C22">
            <v>2</v>
          </cell>
          <cell r="D22" t="str">
            <v>(2h)</v>
          </cell>
          <cell r="E22">
            <v>5</v>
          </cell>
          <cell r="F22" t="str">
            <v>(5h)</v>
          </cell>
          <cell r="G22">
            <v>4</v>
          </cell>
          <cell r="H22" t="str">
            <v>(4h)</v>
          </cell>
        </row>
        <row r="23">
          <cell r="A23">
            <v>14</v>
          </cell>
          <cell r="B23" t="str">
            <v>Cases denied, dismissed or withdrawn…..</v>
          </cell>
          <cell r="C23">
            <v>3433</v>
          </cell>
          <cell r="E23">
            <v>4089</v>
          </cell>
          <cell r="G23">
            <v>4912</v>
          </cell>
        </row>
        <row r="24">
          <cell r="A24">
            <v>15</v>
          </cell>
          <cell r="B24" t="str">
            <v>Cases summarily decided………………….</v>
          </cell>
          <cell r="C24">
            <v>34</v>
          </cell>
          <cell r="E24">
            <v>70</v>
          </cell>
          <cell r="G24">
            <v>32</v>
          </cell>
        </row>
        <row r="25">
          <cell r="A25">
            <v>16</v>
          </cell>
          <cell r="B25" t="str">
            <v>Cases granted review this term……………</v>
          </cell>
          <cell r="C25">
            <v>3</v>
          </cell>
          <cell r="D25" t="str">
            <v>(3h)</v>
          </cell>
          <cell r="E25">
            <v>4</v>
          </cell>
          <cell r="F25" t="str">
            <v>(4h)</v>
          </cell>
          <cell r="G25">
            <v>9</v>
          </cell>
          <cell r="H25" t="str">
            <v>(9h)</v>
          </cell>
        </row>
        <row r="26">
          <cell r="A26">
            <v>17</v>
          </cell>
          <cell r="B26" t="str">
            <v>Cases acted upon…………………………..</v>
          </cell>
          <cell r="C26">
            <v>3475</v>
          </cell>
          <cell r="E26">
            <v>4203</v>
          </cell>
          <cell r="G26">
            <v>4948</v>
          </cell>
        </row>
        <row r="27">
          <cell r="A27">
            <v>18</v>
          </cell>
          <cell r="B27" t="str">
            <v>Cases not acted upon………………………</v>
          </cell>
          <cell r="C27">
            <v>507</v>
          </cell>
          <cell r="E27">
            <v>503</v>
          </cell>
          <cell r="G27">
            <v>755</v>
          </cell>
        </row>
        <row r="29">
          <cell r="A29" t="str">
            <v>Original Cases</v>
          </cell>
        </row>
        <row r="30">
          <cell r="A30">
            <v>19</v>
          </cell>
          <cell r="B30" t="str">
            <v>Cases from prior term………………………</v>
          </cell>
          <cell r="C30">
            <v>8</v>
          </cell>
          <cell r="E30">
            <v>7</v>
          </cell>
          <cell r="G30">
            <v>7</v>
          </cell>
        </row>
        <row r="31">
          <cell r="A31">
            <v>20</v>
          </cell>
          <cell r="B31" t="str">
            <v>Cases docketed during term……………….</v>
          </cell>
          <cell r="C31">
            <v>2</v>
          </cell>
          <cell r="E31">
            <v>3</v>
          </cell>
          <cell r="G31">
            <v>2</v>
          </cell>
        </row>
        <row r="32">
          <cell r="A32">
            <v>21</v>
          </cell>
          <cell r="B32" t="str">
            <v>Cases on docket…………………………….</v>
          </cell>
          <cell r="C32">
            <v>10</v>
          </cell>
          <cell r="E32">
            <v>10</v>
          </cell>
          <cell r="G32">
            <v>9</v>
          </cell>
        </row>
        <row r="33">
          <cell r="A33">
            <v>22</v>
          </cell>
          <cell r="B33" t="str">
            <v>Cases disposed of during term…………….</v>
          </cell>
          <cell r="C33">
            <v>6</v>
          </cell>
          <cell r="E33">
            <v>2</v>
          </cell>
          <cell r="G33">
            <v>2</v>
          </cell>
        </row>
        <row r="34">
          <cell r="A34">
            <v>23</v>
          </cell>
          <cell r="B34" t="str">
            <v>Cases remaining…………………………….</v>
          </cell>
          <cell r="C34">
            <v>4</v>
          </cell>
          <cell r="E34">
            <v>8</v>
          </cell>
          <cell r="G34">
            <v>7</v>
          </cell>
        </row>
        <row r="35">
          <cell r="A35">
            <v>24</v>
          </cell>
          <cell r="B35" t="str">
            <v>Total cases on docket………………………</v>
          </cell>
          <cell r="C35">
            <v>6129</v>
          </cell>
          <cell r="E35">
            <v>6534</v>
          </cell>
          <cell r="G35">
            <v>7626</v>
          </cell>
        </row>
        <row r="37">
          <cell r="A37" t="str">
            <v>ARGUMENT CALENDAR</v>
          </cell>
        </row>
        <row r="38">
          <cell r="A38">
            <v>25</v>
          </cell>
          <cell r="B38" t="str">
            <v>Cases available at beginning of term……..</v>
          </cell>
          <cell r="C38">
            <v>37</v>
          </cell>
          <cell r="D38" t="str">
            <v>(31h)</v>
          </cell>
          <cell r="E38">
            <v>51</v>
          </cell>
          <cell r="F38" t="str">
            <v>(41h)</v>
          </cell>
          <cell r="G38">
            <v>38</v>
          </cell>
          <cell r="H38" t="str">
            <v>(37h)</v>
          </cell>
        </row>
        <row r="39">
          <cell r="A39">
            <v>26</v>
          </cell>
          <cell r="B39" t="str">
            <v>Cases made available during term……...…</v>
          </cell>
          <cell r="C39">
            <v>72</v>
          </cell>
          <cell r="D39" t="str">
            <v>(59h)</v>
          </cell>
          <cell r="E39">
            <v>60</v>
          </cell>
          <cell r="F39" t="str">
            <v>(48h)</v>
          </cell>
          <cell r="G39">
            <v>86</v>
          </cell>
          <cell r="H39" t="str">
            <v>(75h)</v>
          </cell>
        </row>
        <row r="40">
          <cell r="A40">
            <v>27</v>
          </cell>
          <cell r="B40" t="str">
            <v>Cases reset for argument…………………..</v>
          </cell>
          <cell r="C40">
            <v>0</v>
          </cell>
          <cell r="E40">
            <v>0</v>
          </cell>
          <cell r="G40">
            <v>2</v>
          </cell>
        </row>
        <row r="41">
          <cell r="A41">
            <v>28</v>
          </cell>
          <cell r="B41" t="str">
            <v>Original cases set for argument……………</v>
          </cell>
          <cell r="C41">
            <v>2</v>
          </cell>
          <cell r="D41" t="str">
            <v>(2h)</v>
          </cell>
          <cell r="E41">
            <v>1</v>
          </cell>
          <cell r="F41" t="str">
            <v>(1h)</v>
          </cell>
          <cell r="G41">
            <v>0</v>
          </cell>
        </row>
        <row r="42">
          <cell r="A42">
            <v>29</v>
          </cell>
          <cell r="B42" t="str">
            <v>Total cases available for argument………..</v>
          </cell>
          <cell r="C42">
            <v>111</v>
          </cell>
          <cell r="D42" t="str">
            <v>(92h)</v>
          </cell>
          <cell r="E42">
            <v>111</v>
          </cell>
          <cell r="F42" t="str">
            <v>(90h)</v>
          </cell>
          <cell r="G42">
            <v>126</v>
          </cell>
          <cell r="H42" t="str">
            <v>(114h)</v>
          </cell>
        </row>
        <row r="43">
          <cell r="A43">
            <v>30</v>
          </cell>
          <cell r="B43" t="str">
            <v>Cases argued……………………………….</v>
          </cell>
          <cell r="C43">
            <v>72</v>
          </cell>
          <cell r="D43" t="str">
            <v>(58h)</v>
          </cell>
          <cell r="E43">
            <v>73</v>
          </cell>
          <cell r="F43" t="str">
            <v>(58h)</v>
          </cell>
          <cell r="G43">
            <v>73</v>
          </cell>
          <cell r="H43" t="str">
            <v>(71h)</v>
          </cell>
        </row>
        <row r="44">
          <cell r="A44">
            <v>31</v>
          </cell>
          <cell r="B44" t="str">
            <v>Dismissed or remanded without argument…</v>
          </cell>
          <cell r="C44">
            <v>8</v>
          </cell>
          <cell r="D44" t="str">
            <v>(5h)</v>
          </cell>
          <cell r="E44">
            <v>1</v>
          </cell>
          <cell r="F44" t="str">
            <v>(1h)</v>
          </cell>
          <cell r="G44">
            <v>2</v>
          </cell>
        </row>
        <row r="45">
          <cell r="A45">
            <v>32</v>
          </cell>
          <cell r="B45" t="str">
            <v>Total cases disposed of……………………..</v>
          </cell>
          <cell r="C45">
            <v>80</v>
          </cell>
          <cell r="D45" t="str">
            <v>(63h)</v>
          </cell>
          <cell r="E45">
            <v>74</v>
          </cell>
          <cell r="F45" t="str">
            <v>(59h)</v>
          </cell>
          <cell r="G45">
            <v>75</v>
          </cell>
          <cell r="H45" t="str">
            <v>(73h)</v>
          </cell>
        </row>
        <row r="46">
          <cell r="A46">
            <v>33</v>
          </cell>
          <cell r="B46" t="str">
            <v>Total cases available………………………..</v>
          </cell>
          <cell r="C46">
            <v>31</v>
          </cell>
          <cell r="D46" t="str">
            <v>(30h)</v>
          </cell>
          <cell r="E46">
            <v>37</v>
          </cell>
          <cell r="F46" t="str">
            <v>(31h)</v>
          </cell>
          <cell r="G46">
            <v>51</v>
          </cell>
          <cell r="H46" t="str">
            <v>(41h)</v>
          </cell>
        </row>
        <row r="47">
          <cell r="A47">
            <v>34</v>
          </cell>
          <cell r="B47" t="str">
            <v>Cases granted this Term</v>
          </cell>
        </row>
        <row r="48">
          <cell r="B48" t="str">
            <v>to be argued next Term………………………</v>
          </cell>
          <cell r="C48">
            <v>31</v>
          </cell>
          <cell r="D48" t="str">
            <v>(30h)</v>
          </cell>
          <cell r="E48">
            <v>37</v>
          </cell>
          <cell r="F48" t="str">
            <v>(31h)</v>
          </cell>
          <cell r="G48">
            <v>50</v>
          </cell>
          <cell r="H48" t="str">
            <v>(40h)</v>
          </cell>
        </row>
        <row r="50">
          <cell r="A50" t="str">
            <v>DECISION CALENDAR</v>
          </cell>
        </row>
        <row r="51">
          <cell r="A51">
            <v>35</v>
          </cell>
          <cell r="B51" t="str">
            <v>Cases argued and submitted……………….</v>
          </cell>
          <cell r="C51">
            <v>72</v>
          </cell>
          <cell r="E51">
            <v>73</v>
          </cell>
          <cell r="G51">
            <v>73</v>
          </cell>
        </row>
        <row r="52">
          <cell r="A52">
            <v>36</v>
          </cell>
          <cell r="B52" t="str">
            <v>Disposed of by signed opinion……………..</v>
          </cell>
          <cell r="C52">
            <v>69</v>
          </cell>
          <cell r="E52">
            <v>69</v>
          </cell>
          <cell r="G52">
            <v>69</v>
          </cell>
        </row>
        <row r="53">
          <cell r="A53">
            <v>37</v>
          </cell>
          <cell r="B53" t="str">
            <v>Disposed of by per curiam opinion…………</v>
          </cell>
          <cell r="C53">
            <v>3</v>
          </cell>
          <cell r="E53">
            <v>4</v>
          </cell>
          <cell r="G53">
            <v>2</v>
          </cell>
        </row>
        <row r="54">
          <cell r="A54">
            <v>38</v>
          </cell>
          <cell r="B54" t="str">
            <v>Set for reargument……………………………</v>
          </cell>
          <cell r="C54">
            <v>0</v>
          </cell>
          <cell r="E54">
            <v>0</v>
          </cell>
          <cell r="G54">
            <v>2</v>
          </cell>
        </row>
        <row r="55">
          <cell r="A55">
            <v>39</v>
          </cell>
          <cell r="B55" t="str">
            <v>Total cases decided…………………………</v>
          </cell>
          <cell r="C55">
            <v>72</v>
          </cell>
          <cell r="E55">
            <v>73</v>
          </cell>
          <cell r="G55">
            <v>71</v>
          </cell>
        </row>
        <row r="56">
          <cell r="A56">
            <v>40</v>
          </cell>
          <cell r="B56" t="str">
            <v>Cases awaiting decision…………………….</v>
          </cell>
          <cell r="C56">
            <v>0</v>
          </cell>
          <cell r="E56">
            <v>0</v>
          </cell>
          <cell r="G56">
            <v>0</v>
          </cell>
        </row>
        <row r="57">
          <cell r="A57">
            <v>41</v>
          </cell>
          <cell r="B57" t="str">
            <v>Number of signed opinions………………….</v>
          </cell>
          <cell r="C57">
            <v>55</v>
          </cell>
          <cell r="E57">
            <v>53</v>
          </cell>
          <cell r="G57">
            <v>66</v>
          </cell>
        </row>
        <row r="58">
          <cell r="A58">
            <v>42</v>
          </cell>
          <cell r="B58" t="str">
            <v>Number of opinions to be filed………………</v>
          </cell>
          <cell r="C58">
            <v>0</v>
          </cell>
          <cell r="E58">
            <v>0</v>
          </cell>
          <cell r="G58">
            <v>0</v>
          </cell>
        </row>
        <row r="60">
          <cell r="A60">
            <v>43</v>
          </cell>
          <cell r="B60" t="str">
            <v>Admissions to the bar…………………….</v>
          </cell>
          <cell r="C60">
            <v>1594</v>
          </cell>
          <cell r="E60">
            <v>2834</v>
          </cell>
          <cell r="G60">
            <v>3660</v>
          </cell>
        </row>
        <row r="61">
          <cell r="B61" t="str">
            <v>On written motions…………………………</v>
          </cell>
          <cell r="C61">
            <v>1594</v>
          </cell>
          <cell r="E61">
            <v>1811</v>
          </cell>
          <cell r="G61">
            <v>1755</v>
          </cell>
        </row>
        <row r="62">
          <cell r="B62" t="str">
            <v>In court………………………………………</v>
          </cell>
          <cell r="C62">
            <v>0</v>
          </cell>
          <cell r="E62">
            <v>1023</v>
          </cell>
          <cell r="G62">
            <v>1905</v>
          </cell>
        </row>
        <row r="65">
          <cell r="B65" t="str">
            <v xml:space="preserve">                   FOR INTERNAL COURT USE ONLY</v>
          </cell>
        </row>
      </sheetData>
      <sheetData sheetId="4">
        <row r="1">
          <cell r="A1" t="str">
            <v xml:space="preserve">                                                       October Term, 2020</v>
          </cell>
        </row>
        <row r="2">
          <cell r="A2" t="str">
            <v xml:space="preserve">                                                      Statistical Sheet No. 1</v>
          </cell>
        </row>
        <row r="3">
          <cell r="A3" t="str">
            <v xml:space="preserve">                                                         October 8, 2020</v>
          </cell>
        </row>
        <row r="5">
          <cell r="E5" t="str">
            <v>TERM</v>
          </cell>
        </row>
        <row r="6">
          <cell r="C6" t="str">
            <v>CURRENT</v>
          </cell>
          <cell r="E6" t="str">
            <v>LAST</v>
          </cell>
          <cell r="G6" t="str">
            <v>O.T. '18</v>
          </cell>
        </row>
        <row r="7">
          <cell r="A7" t="str">
            <v>PAID CASES</v>
          </cell>
        </row>
        <row r="8">
          <cell r="A8">
            <v>1</v>
          </cell>
          <cell r="B8" t="str">
            <v>Cases from prior term………………………</v>
          </cell>
          <cell r="C8">
            <v>309</v>
          </cell>
          <cell r="E8">
            <v>327</v>
          </cell>
          <cell r="G8">
            <v>322</v>
          </cell>
        </row>
        <row r="9">
          <cell r="A9">
            <v>2</v>
          </cell>
          <cell r="B9" t="str">
            <v>Cases docketed during term……………….</v>
          </cell>
          <cell r="C9">
            <v>445</v>
          </cell>
          <cell r="E9">
            <v>467</v>
          </cell>
          <cell r="G9">
            <v>428</v>
          </cell>
        </row>
        <row r="10">
          <cell r="A10">
            <v>3</v>
          </cell>
          <cell r="B10" t="str">
            <v>Cases on docket…………………………….</v>
          </cell>
          <cell r="C10">
            <v>754</v>
          </cell>
          <cell r="E10">
            <v>794</v>
          </cell>
          <cell r="G10">
            <v>750</v>
          </cell>
        </row>
        <row r="11">
          <cell r="A11">
            <v>4</v>
          </cell>
          <cell r="B11" t="str">
            <v>Cases granted review and carried over…..</v>
          </cell>
          <cell r="C11">
            <v>35</v>
          </cell>
          <cell r="D11" t="str">
            <v>(29h)</v>
          </cell>
          <cell r="E11">
            <v>46</v>
          </cell>
          <cell r="F11" t="str">
            <v>(36h)</v>
          </cell>
          <cell r="G11">
            <v>34</v>
          </cell>
          <cell r="H11" t="str">
            <v>(33h)</v>
          </cell>
        </row>
        <row r="12">
          <cell r="A12">
            <v>5</v>
          </cell>
          <cell r="B12" t="str">
            <v>Cases denied, dismissed or withdrawn…..</v>
          </cell>
          <cell r="C12">
            <v>287</v>
          </cell>
          <cell r="E12">
            <v>327</v>
          </cell>
          <cell r="G12">
            <v>310</v>
          </cell>
        </row>
        <row r="13">
          <cell r="A13">
            <v>6</v>
          </cell>
          <cell r="B13" t="str">
            <v>Cases summarily decided………………….</v>
          </cell>
          <cell r="C13">
            <v>1</v>
          </cell>
          <cell r="E13">
            <v>3</v>
          </cell>
          <cell r="G13">
            <v>1</v>
          </cell>
        </row>
        <row r="14">
          <cell r="A14">
            <v>7</v>
          </cell>
          <cell r="B14" t="str">
            <v>Cases granted review this term…………….</v>
          </cell>
          <cell r="C14">
            <v>7</v>
          </cell>
          <cell r="D14" t="str">
            <v>(4h)</v>
          </cell>
          <cell r="E14">
            <v>5</v>
          </cell>
          <cell r="F14" t="str">
            <v>(3h)</v>
          </cell>
          <cell r="G14">
            <v>5</v>
          </cell>
          <cell r="H14" t="str">
            <v>(5h)</v>
          </cell>
        </row>
        <row r="15">
          <cell r="A15">
            <v>8</v>
          </cell>
          <cell r="B15" t="str">
            <v>Cases acted upon…………………………..</v>
          </cell>
          <cell r="C15">
            <v>330</v>
          </cell>
          <cell r="E15">
            <v>381</v>
          </cell>
          <cell r="G15">
            <v>350</v>
          </cell>
        </row>
        <row r="16">
          <cell r="A16">
            <v>9</v>
          </cell>
          <cell r="B16" t="str">
            <v>Cases not acted upon………………………</v>
          </cell>
          <cell r="C16">
            <v>424</v>
          </cell>
          <cell r="E16">
            <v>413</v>
          </cell>
          <cell r="G16">
            <v>400</v>
          </cell>
        </row>
        <row r="18">
          <cell r="A18" t="str">
            <v>IN FORMA PAUPERIS CASES</v>
          </cell>
        </row>
        <row r="19">
          <cell r="A19">
            <v>10</v>
          </cell>
          <cell r="B19" t="str">
            <v>Cases from prior term………………………</v>
          </cell>
          <cell r="C19">
            <v>505</v>
          </cell>
          <cell r="E19">
            <v>760</v>
          </cell>
          <cell r="G19">
            <v>855</v>
          </cell>
        </row>
        <row r="20">
          <cell r="A20">
            <v>11</v>
          </cell>
          <cell r="B20" t="str">
            <v>Cases docketed during term……………….</v>
          </cell>
          <cell r="C20">
            <v>942</v>
          </cell>
          <cell r="E20">
            <v>1226</v>
          </cell>
          <cell r="G20">
            <v>1204</v>
          </cell>
        </row>
        <row r="21">
          <cell r="A21">
            <v>12</v>
          </cell>
          <cell r="B21" t="str">
            <v>Cases on docket…………………………….</v>
          </cell>
          <cell r="C21">
            <v>1447</v>
          </cell>
          <cell r="E21">
            <v>1986</v>
          </cell>
          <cell r="G21">
            <v>2059</v>
          </cell>
        </row>
        <row r="22">
          <cell r="A22">
            <v>13</v>
          </cell>
          <cell r="B22" t="str">
            <v>Cases granted review and carried over…..</v>
          </cell>
          <cell r="C22">
            <v>2</v>
          </cell>
          <cell r="D22" t="str">
            <v>(2h)</v>
          </cell>
          <cell r="E22">
            <v>5</v>
          </cell>
          <cell r="F22" t="str">
            <v>(5h)</v>
          </cell>
          <cell r="G22">
            <v>4</v>
          </cell>
          <cell r="H22" t="str">
            <v>(4h)</v>
          </cell>
        </row>
        <row r="23">
          <cell r="A23">
            <v>14</v>
          </cell>
          <cell r="B23" t="str">
            <v>Cases denied, dismissed or withdrawn…..</v>
          </cell>
          <cell r="C23">
            <v>789</v>
          </cell>
          <cell r="E23">
            <v>1161</v>
          </cell>
          <cell r="G23">
            <v>1244</v>
          </cell>
        </row>
        <row r="24">
          <cell r="A24">
            <v>15</v>
          </cell>
          <cell r="B24" t="str">
            <v>Cases summarily decided………………….</v>
          </cell>
          <cell r="C24">
            <v>5</v>
          </cell>
          <cell r="E24">
            <v>20</v>
          </cell>
          <cell r="G24">
            <v>11</v>
          </cell>
        </row>
        <row r="25">
          <cell r="A25">
            <v>16</v>
          </cell>
          <cell r="B25" t="str">
            <v>Cases granted review this term……………</v>
          </cell>
          <cell r="C25">
            <v>0</v>
          </cell>
          <cell r="E25">
            <v>0</v>
          </cell>
          <cell r="G25">
            <v>0</v>
          </cell>
        </row>
        <row r="26">
          <cell r="A26">
            <v>17</v>
          </cell>
          <cell r="B26" t="str">
            <v>Cases acted upon…………………………..</v>
          </cell>
          <cell r="C26">
            <v>796</v>
          </cell>
          <cell r="E26">
            <v>1186</v>
          </cell>
          <cell r="G26">
            <v>1259</v>
          </cell>
        </row>
        <row r="27">
          <cell r="A27">
            <v>18</v>
          </cell>
          <cell r="B27" t="str">
            <v>Cases not acted upon………………………</v>
          </cell>
          <cell r="C27">
            <v>651</v>
          </cell>
          <cell r="E27">
            <v>800</v>
          </cell>
          <cell r="G27">
            <v>800</v>
          </cell>
        </row>
        <row r="29">
          <cell r="A29" t="str">
            <v>ORIGINAL CASES</v>
          </cell>
        </row>
        <row r="30">
          <cell r="A30">
            <v>19</v>
          </cell>
          <cell r="B30" t="str">
            <v>Cases from prior term………………………</v>
          </cell>
          <cell r="C30">
            <v>8</v>
          </cell>
          <cell r="E30">
            <v>7</v>
          </cell>
          <cell r="G30">
            <v>7</v>
          </cell>
        </row>
        <row r="31">
          <cell r="A31">
            <v>20</v>
          </cell>
          <cell r="B31" t="str">
            <v>Cases docketed during term……………….</v>
          </cell>
          <cell r="C31">
            <v>0</v>
          </cell>
          <cell r="E31">
            <v>1</v>
          </cell>
          <cell r="G31">
            <v>0</v>
          </cell>
        </row>
        <row r="32">
          <cell r="A32">
            <v>21</v>
          </cell>
          <cell r="B32" t="str">
            <v>Cases on docket…………………………….</v>
          </cell>
          <cell r="C32">
            <v>8</v>
          </cell>
          <cell r="E32">
            <v>8</v>
          </cell>
          <cell r="G32">
            <v>7</v>
          </cell>
        </row>
        <row r="33">
          <cell r="A33">
            <v>22</v>
          </cell>
          <cell r="B33" t="str">
            <v>Cases disposed of during term…………….</v>
          </cell>
          <cell r="C33">
            <v>0</v>
          </cell>
          <cell r="E33">
            <v>0</v>
          </cell>
          <cell r="G33">
            <v>0</v>
          </cell>
        </row>
        <row r="34">
          <cell r="A34">
            <v>23</v>
          </cell>
          <cell r="B34" t="str">
            <v>Cases remaining…………………………….</v>
          </cell>
          <cell r="C34">
            <v>8</v>
          </cell>
          <cell r="E34">
            <v>8</v>
          </cell>
          <cell r="G34">
            <v>7</v>
          </cell>
        </row>
        <row r="35">
          <cell r="A35">
            <v>24</v>
          </cell>
          <cell r="B35" t="str">
            <v>Total cases on docket………………………</v>
          </cell>
          <cell r="C35">
            <v>2209</v>
          </cell>
          <cell r="E35">
            <v>2788</v>
          </cell>
          <cell r="G35">
            <v>2816</v>
          </cell>
        </row>
        <row r="37">
          <cell r="A37" t="str">
            <v>ARGUMENT CALENDAR</v>
          </cell>
        </row>
        <row r="38">
          <cell r="A38">
            <v>25</v>
          </cell>
          <cell r="B38" t="str">
            <v>Cases available at beginning of term……..</v>
          </cell>
          <cell r="C38">
            <v>37</v>
          </cell>
          <cell r="D38" t="str">
            <v>(31h)</v>
          </cell>
          <cell r="E38">
            <v>51</v>
          </cell>
          <cell r="F38" t="str">
            <v>(41h)</v>
          </cell>
          <cell r="G38">
            <v>38</v>
          </cell>
          <cell r="H38" t="str">
            <v>(37h)</v>
          </cell>
        </row>
        <row r="39">
          <cell r="A39">
            <v>26</v>
          </cell>
          <cell r="B39" t="str">
            <v>Cases made available during term……...…</v>
          </cell>
          <cell r="C39">
            <v>7</v>
          </cell>
          <cell r="D39" t="str">
            <v>(4h)</v>
          </cell>
          <cell r="E39">
            <v>5</v>
          </cell>
          <cell r="F39" t="str">
            <v>(3h)</v>
          </cell>
          <cell r="G39">
            <v>5</v>
          </cell>
          <cell r="H39" t="str">
            <v>(5h)</v>
          </cell>
        </row>
        <row r="40">
          <cell r="A40">
            <v>27</v>
          </cell>
          <cell r="B40" t="str">
            <v>Cases reset for argument…………………..</v>
          </cell>
          <cell r="C40">
            <v>0</v>
          </cell>
          <cell r="E40">
            <v>0</v>
          </cell>
          <cell r="G40">
            <v>0</v>
          </cell>
        </row>
        <row r="41">
          <cell r="A41">
            <v>28</v>
          </cell>
          <cell r="B41" t="str">
            <v>Original cases set for argument……………</v>
          </cell>
          <cell r="C41">
            <v>1</v>
          </cell>
          <cell r="D41" t="str">
            <v>(1h)</v>
          </cell>
          <cell r="E41">
            <v>0</v>
          </cell>
          <cell r="G41">
            <v>0</v>
          </cell>
        </row>
        <row r="42">
          <cell r="A42">
            <v>29</v>
          </cell>
          <cell r="B42" t="str">
            <v>Total cases available for argument………..</v>
          </cell>
          <cell r="C42">
            <v>45</v>
          </cell>
          <cell r="D42" t="str">
            <v>(36h)</v>
          </cell>
          <cell r="E42">
            <v>56</v>
          </cell>
          <cell r="F42" t="str">
            <v>(44h)</v>
          </cell>
          <cell r="G42">
            <v>43</v>
          </cell>
          <cell r="H42" t="str">
            <v>(42h)</v>
          </cell>
        </row>
        <row r="43">
          <cell r="A43">
            <v>30</v>
          </cell>
          <cell r="B43" t="str">
            <v>Cases argued……………………………….</v>
          </cell>
          <cell r="C43">
            <v>7</v>
          </cell>
          <cell r="D43" t="str">
            <v>(6h)</v>
          </cell>
          <cell r="E43">
            <v>6</v>
          </cell>
          <cell r="F43" t="str">
            <v>(5h)</v>
          </cell>
          <cell r="G43">
            <v>6</v>
          </cell>
          <cell r="H43" t="str">
            <v>(6h)</v>
          </cell>
        </row>
        <row r="44">
          <cell r="A44">
            <v>31</v>
          </cell>
          <cell r="B44" t="str">
            <v>Dismissed or remanded without argument…</v>
          </cell>
          <cell r="C44">
            <v>0</v>
          </cell>
          <cell r="E44">
            <v>0</v>
          </cell>
          <cell r="G44">
            <v>0</v>
          </cell>
        </row>
        <row r="45">
          <cell r="A45">
            <v>32</v>
          </cell>
          <cell r="B45" t="str">
            <v>Total cases disposed of……………………..</v>
          </cell>
          <cell r="C45">
            <v>7</v>
          </cell>
          <cell r="E45">
            <v>6</v>
          </cell>
          <cell r="G45">
            <v>6</v>
          </cell>
        </row>
        <row r="46">
          <cell r="A46">
            <v>33</v>
          </cell>
          <cell r="B46" t="str">
            <v>Total cases available………………………..</v>
          </cell>
          <cell r="C46">
            <v>38</v>
          </cell>
          <cell r="D46" t="str">
            <v>(30h)</v>
          </cell>
          <cell r="E46">
            <v>50</v>
          </cell>
          <cell r="F46" t="str">
            <v>(39h)</v>
          </cell>
          <cell r="G46">
            <v>37</v>
          </cell>
          <cell r="H46" t="str">
            <v>(36h)</v>
          </cell>
        </row>
        <row r="47">
          <cell r="A47">
            <v>34</v>
          </cell>
          <cell r="B47" t="str">
            <v>Cases granted this term</v>
          </cell>
        </row>
        <row r="48">
          <cell r="B48" t="str">
            <v>to be argued next term…………………….</v>
          </cell>
          <cell r="C48">
            <v>0</v>
          </cell>
          <cell r="E48">
            <v>0</v>
          </cell>
          <cell r="G48">
            <v>0</v>
          </cell>
        </row>
        <row r="50">
          <cell r="A50" t="str">
            <v>DECISION CALENDAR</v>
          </cell>
        </row>
        <row r="51">
          <cell r="A51">
            <v>35</v>
          </cell>
          <cell r="B51" t="str">
            <v>Cases argued and submitted……………….</v>
          </cell>
          <cell r="C51">
            <v>7</v>
          </cell>
          <cell r="E51">
            <v>6</v>
          </cell>
          <cell r="G51">
            <v>6</v>
          </cell>
        </row>
        <row r="52">
          <cell r="A52">
            <v>36</v>
          </cell>
          <cell r="B52" t="str">
            <v>Disposed of by signed opinion……………..</v>
          </cell>
          <cell r="C52">
            <v>0</v>
          </cell>
          <cell r="E52">
            <v>0</v>
          </cell>
          <cell r="G52">
            <v>0</v>
          </cell>
        </row>
        <row r="53">
          <cell r="A53">
            <v>37</v>
          </cell>
          <cell r="B53" t="str">
            <v>Disposed of by per curiam opinion…………</v>
          </cell>
          <cell r="C53">
            <v>0</v>
          </cell>
          <cell r="E53">
            <v>0</v>
          </cell>
          <cell r="G53">
            <v>0</v>
          </cell>
        </row>
        <row r="54">
          <cell r="A54">
            <v>38</v>
          </cell>
          <cell r="B54" t="str">
            <v>Set for reargument……………………………</v>
          </cell>
          <cell r="C54">
            <v>0</v>
          </cell>
          <cell r="E54">
            <v>0</v>
          </cell>
          <cell r="G54">
            <v>0</v>
          </cell>
        </row>
        <row r="55">
          <cell r="A55">
            <v>39</v>
          </cell>
          <cell r="B55" t="str">
            <v>Total cases decided…………………………</v>
          </cell>
          <cell r="C55">
            <v>0</v>
          </cell>
          <cell r="E55">
            <v>0</v>
          </cell>
          <cell r="G55">
            <v>0</v>
          </cell>
        </row>
        <row r="56">
          <cell r="A56">
            <v>40</v>
          </cell>
          <cell r="B56" t="str">
            <v>Cases awaiting decision…………………….</v>
          </cell>
          <cell r="C56">
            <v>7</v>
          </cell>
          <cell r="E56">
            <v>6</v>
          </cell>
          <cell r="G56">
            <v>6</v>
          </cell>
        </row>
        <row r="57">
          <cell r="A57">
            <v>41</v>
          </cell>
          <cell r="B57" t="str">
            <v>Number of signed opinions………………….</v>
          </cell>
          <cell r="C57">
            <v>0</v>
          </cell>
          <cell r="E57">
            <v>0</v>
          </cell>
          <cell r="G57">
            <v>0</v>
          </cell>
        </row>
        <row r="58">
          <cell r="A58">
            <v>42</v>
          </cell>
          <cell r="B58" t="str">
            <v>Number of opinions to be filed………………</v>
          </cell>
          <cell r="C58">
            <v>6</v>
          </cell>
          <cell r="E58">
            <v>5</v>
          </cell>
          <cell r="G58">
            <v>6</v>
          </cell>
        </row>
        <row r="60">
          <cell r="A60">
            <v>43</v>
          </cell>
          <cell r="B60" t="str">
            <v>Admissions to the bar………………………..</v>
          </cell>
          <cell r="C60">
            <v>382</v>
          </cell>
          <cell r="E60">
            <v>583</v>
          </cell>
          <cell r="G60">
            <v>521</v>
          </cell>
        </row>
        <row r="61">
          <cell r="B61" t="str">
            <v>On written motions……………………………</v>
          </cell>
          <cell r="C61">
            <v>382</v>
          </cell>
          <cell r="E61">
            <v>522</v>
          </cell>
          <cell r="G61">
            <v>455</v>
          </cell>
        </row>
        <row r="62">
          <cell r="B62" t="str">
            <v>In court…………………………………………</v>
          </cell>
          <cell r="C62">
            <v>0</v>
          </cell>
          <cell r="E62">
            <v>61</v>
          </cell>
          <cell r="G62">
            <v>66</v>
          </cell>
        </row>
        <row r="64">
          <cell r="B64" t="str">
            <v xml:space="preserve">                                FOR INTERNAL COURT USE ONLY</v>
          </cell>
        </row>
      </sheetData>
      <sheetData sheetId="5">
        <row r="16">
          <cell r="E16">
            <v>7334</v>
          </cell>
          <cell r="K16">
            <v>7</v>
          </cell>
          <cell r="Q16">
            <v>1850</v>
          </cell>
          <cell r="W16">
            <v>5477</v>
          </cell>
        </row>
        <row r="17">
          <cell r="E17">
            <v>6258</v>
          </cell>
          <cell r="K17">
            <v>1</v>
          </cell>
          <cell r="Q17">
            <v>1505</v>
          </cell>
          <cell r="W17">
            <v>4752</v>
          </cell>
        </row>
        <row r="18">
          <cell r="E18">
            <v>1076</v>
          </cell>
          <cell r="K18">
            <v>6</v>
          </cell>
          <cell r="Q18">
            <v>345</v>
          </cell>
          <cell r="W18">
            <v>725</v>
          </cell>
        </row>
        <row r="21">
          <cell r="E21">
            <v>7390</v>
          </cell>
          <cell r="K21">
            <v>8</v>
          </cell>
          <cell r="Q21">
            <v>2062</v>
          </cell>
          <cell r="W21">
            <v>5320</v>
          </cell>
        </row>
        <row r="22">
          <cell r="E22">
            <v>6192</v>
          </cell>
          <cell r="K22">
            <v>1</v>
          </cell>
          <cell r="Q22">
            <v>1728</v>
          </cell>
          <cell r="W22">
            <v>4463</v>
          </cell>
        </row>
        <row r="23">
          <cell r="E23">
            <v>1198</v>
          </cell>
          <cell r="K23">
            <v>7</v>
          </cell>
          <cell r="Q23">
            <v>334</v>
          </cell>
          <cell r="W23">
            <v>857</v>
          </cell>
        </row>
        <row r="26">
          <cell r="E26">
            <v>7626</v>
          </cell>
          <cell r="K26">
            <v>9</v>
          </cell>
          <cell r="Q26">
            <v>1915</v>
          </cell>
          <cell r="W26">
            <v>5702</v>
          </cell>
        </row>
        <row r="27">
          <cell r="E27">
            <v>6528</v>
          </cell>
          <cell r="K27">
            <v>2</v>
          </cell>
          <cell r="Q27">
            <v>1583</v>
          </cell>
          <cell r="W27">
            <v>4943</v>
          </cell>
        </row>
        <row r="28">
          <cell r="E28">
            <v>1094</v>
          </cell>
          <cell r="K28">
            <v>7</v>
          </cell>
          <cell r="Q28">
            <v>327</v>
          </cell>
          <cell r="W28">
            <v>760</v>
          </cell>
        </row>
        <row r="31">
          <cell r="E31">
            <v>6534</v>
          </cell>
          <cell r="K31">
            <v>10</v>
          </cell>
          <cell r="Q31">
            <v>1818</v>
          </cell>
          <cell r="W31">
            <v>4706</v>
          </cell>
        </row>
        <row r="32">
          <cell r="E32">
            <v>5698</v>
          </cell>
          <cell r="K32">
            <v>2</v>
          </cell>
          <cell r="Q32">
            <v>1498</v>
          </cell>
          <cell r="W32">
            <v>4198</v>
          </cell>
        </row>
        <row r="33">
          <cell r="E33">
            <v>836</v>
          </cell>
          <cell r="K33">
            <v>8</v>
          </cell>
          <cell r="Q33">
            <v>320</v>
          </cell>
          <cell r="W33">
            <v>508</v>
          </cell>
        </row>
        <row r="39">
          <cell r="L39">
            <v>71</v>
          </cell>
          <cell r="P39">
            <v>69</v>
          </cell>
        </row>
        <row r="40">
          <cell r="L40">
            <v>68</v>
          </cell>
          <cell r="P40">
            <v>63</v>
          </cell>
        </row>
        <row r="41">
          <cell r="L41">
            <v>1</v>
          </cell>
          <cell r="P41">
            <v>6</v>
          </cell>
        </row>
        <row r="42">
          <cell r="L42">
            <v>2</v>
          </cell>
          <cell r="P42" t="str">
            <v>-</v>
          </cell>
        </row>
        <row r="43">
          <cell r="L43">
            <v>75</v>
          </cell>
          <cell r="P43">
            <v>78</v>
          </cell>
        </row>
        <row r="44">
          <cell r="L44">
            <v>66</v>
          </cell>
          <cell r="P44">
            <v>103</v>
          </cell>
        </row>
        <row r="45">
          <cell r="L45">
            <v>32</v>
          </cell>
          <cell r="P45">
            <v>38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2A34-ED40-4C57-AE5C-1303E00DC16B}">
  <dimension ref="A1:Z50"/>
  <sheetViews>
    <sheetView showGridLines="0" tabSelected="1" zoomScaleNormal="100" workbookViewId="0">
      <selection activeCell="A6" sqref="A6:B7"/>
    </sheetView>
  </sheetViews>
  <sheetFormatPr defaultRowHeight="11.25" x14ac:dyDescent="0.2"/>
  <cols>
    <col min="1" max="1" width="2.28515625" style="1" customWidth="1"/>
    <col min="2" max="2" width="22.28515625" style="1" customWidth="1"/>
    <col min="3" max="26" width="3.85546875" style="1" customWidth="1"/>
    <col min="27" max="16384" width="9.140625" style="1"/>
  </cols>
  <sheetData>
    <row r="1" spans="1:26" ht="13.5" customHeight="1" x14ac:dyDescent="0.2"/>
    <row r="2" spans="1:26" ht="13.5" customHeight="1" x14ac:dyDescent="0.2">
      <c r="A2" s="2" t="s">
        <v>0</v>
      </c>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 t="s">
        <v>1</v>
      </c>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 t="str">
        <f>"at Conclusion of October Terms, "&amp;(RIGHT('[1]Raw Data - Tab 28 Curr Term'!$A$1,4)-4)&amp;" Through "&amp;RIGHT('[1]Raw Data - Tab 28 Curr Term'!$A$1,4)</f>
        <v>at Conclusion of October Terms, 2016 Through 2020</v>
      </c>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
    <row r="6" spans="1:26" ht="13.5" customHeight="1" x14ac:dyDescent="0.2">
      <c r="A6" s="3" t="s">
        <v>2</v>
      </c>
      <c r="B6" s="4"/>
      <c r="C6" s="5" t="s">
        <v>3</v>
      </c>
      <c r="D6" s="3"/>
      <c r="E6" s="3"/>
      <c r="F6" s="3"/>
      <c r="G6" s="3"/>
      <c r="H6" s="3"/>
      <c r="I6" s="5" t="s">
        <v>4</v>
      </c>
      <c r="J6" s="3"/>
      <c r="K6" s="3"/>
      <c r="L6" s="3"/>
      <c r="M6" s="3"/>
      <c r="N6" s="3"/>
      <c r="O6" s="5" t="s">
        <v>5</v>
      </c>
      <c r="P6" s="3"/>
      <c r="Q6" s="3"/>
      <c r="R6" s="3"/>
      <c r="S6" s="3"/>
      <c r="T6" s="3"/>
      <c r="U6" s="5" t="s">
        <v>6</v>
      </c>
      <c r="V6" s="3"/>
      <c r="W6" s="3"/>
      <c r="X6" s="3"/>
      <c r="Y6" s="3"/>
      <c r="Z6" s="3"/>
    </row>
    <row r="7" spans="1:26" ht="13.5" customHeight="1" x14ac:dyDescent="0.2">
      <c r="A7" s="6"/>
      <c r="B7" s="7"/>
      <c r="C7" s="8"/>
      <c r="D7" s="6"/>
      <c r="E7" s="6"/>
      <c r="F7" s="6"/>
      <c r="G7" s="6"/>
      <c r="H7" s="6"/>
      <c r="I7" s="8"/>
      <c r="J7" s="6"/>
      <c r="K7" s="6"/>
      <c r="L7" s="6"/>
      <c r="M7" s="6"/>
      <c r="N7" s="6"/>
      <c r="O7" s="8"/>
      <c r="P7" s="6"/>
      <c r="Q7" s="6"/>
      <c r="R7" s="6"/>
      <c r="S7" s="6"/>
      <c r="T7" s="6"/>
      <c r="U7" s="8"/>
      <c r="V7" s="6"/>
      <c r="W7" s="6"/>
      <c r="X7" s="6"/>
      <c r="Y7" s="6"/>
      <c r="Z7" s="6"/>
    </row>
    <row r="8" spans="1:26" ht="3.75" customHeight="1" x14ac:dyDescent="0.2">
      <c r="A8" s="9"/>
      <c r="B8" s="9"/>
      <c r="C8" s="9"/>
      <c r="D8" s="9"/>
      <c r="E8" s="9"/>
      <c r="F8" s="9"/>
      <c r="G8" s="9"/>
      <c r="H8" s="9"/>
      <c r="I8" s="9"/>
      <c r="J8" s="9"/>
      <c r="K8" s="9"/>
      <c r="L8" s="9"/>
      <c r="M8" s="9"/>
      <c r="N8" s="9"/>
      <c r="O8" s="9"/>
      <c r="P8" s="9"/>
      <c r="Q8" s="9"/>
      <c r="R8" s="9"/>
      <c r="S8" s="9"/>
      <c r="T8" s="9"/>
      <c r="U8" s="9"/>
      <c r="V8" s="9"/>
      <c r="W8" s="9"/>
      <c r="X8" s="9"/>
      <c r="Y8" s="9"/>
      <c r="Z8" s="9"/>
    </row>
    <row r="9" spans="1:26" ht="11.25" customHeight="1" x14ac:dyDescent="0.2">
      <c r="A9" s="10"/>
      <c r="B9" s="10"/>
      <c r="C9" s="11"/>
      <c r="D9" s="11"/>
      <c r="E9" s="11"/>
      <c r="F9" s="11"/>
      <c r="G9" s="11"/>
      <c r="H9" s="11"/>
      <c r="I9" s="11"/>
      <c r="J9" s="11"/>
      <c r="K9" s="11"/>
      <c r="L9" s="11"/>
      <c r="M9" s="11"/>
      <c r="N9" s="11"/>
      <c r="O9" s="11"/>
      <c r="P9" s="11"/>
      <c r="Q9" s="11"/>
      <c r="R9" s="11"/>
      <c r="S9" s="11"/>
      <c r="T9" s="11"/>
      <c r="U9" s="11"/>
      <c r="V9" s="11"/>
      <c r="W9" s="11"/>
      <c r="X9" s="11"/>
      <c r="Y9" s="11"/>
      <c r="Z9" s="11"/>
    </row>
    <row r="10" spans="1:26" ht="11.25" customHeight="1" x14ac:dyDescent="0.2">
      <c r="B10" s="12">
        <f>RIGHT('[1]Raw Data - Tab 28 Curr Term'!$A$1,4)-4</f>
        <v>2016</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1.25" customHeight="1" x14ac:dyDescent="0.2">
      <c r="A11" s="13" t="s">
        <v>7</v>
      </c>
      <c r="B11" s="13"/>
      <c r="C11" s="11"/>
      <c r="D11" s="11"/>
      <c r="E11" s="14">
        <f>IF('[1]Raw Data - Prior Year A-1'!E16:F16=0,"-",'[1]Raw Data - Prior Year A-1'!E16:F16)</f>
        <v>7334</v>
      </c>
      <c r="F11" s="14"/>
      <c r="G11" s="11"/>
      <c r="H11" s="11"/>
      <c r="I11" s="11"/>
      <c r="J11" s="11"/>
      <c r="K11" s="14">
        <f>IF('[1]Raw Data - Prior Year A-1'!K16:L16=0,"-",'[1]Raw Data - Prior Year A-1'!K16:L16)</f>
        <v>7</v>
      </c>
      <c r="L11" s="14"/>
      <c r="M11" s="11"/>
      <c r="N11" s="11"/>
      <c r="O11" s="11"/>
      <c r="P11" s="11"/>
      <c r="Q11" s="14">
        <f>IF('[1]Raw Data - Prior Year A-1'!Q16:R16=0,"-",'[1]Raw Data - Prior Year A-1'!Q16:R16)</f>
        <v>1850</v>
      </c>
      <c r="R11" s="14"/>
      <c r="S11" s="11"/>
      <c r="T11" s="11"/>
      <c r="U11" s="11"/>
      <c r="V11" s="11"/>
      <c r="W11" s="14">
        <f>IF('[1]Raw Data - Prior Year A-1'!W16:X16=0,"-",'[1]Raw Data - Prior Year A-1'!W16:X16)</f>
        <v>5477</v>
      </c>
      <c r="X11" s="14"/>
      <c r="Y11" s="11"/>
      <c r="Z11" s="11"/>
    </row>
    <row r="12" spans="1:26" ht="11.25" customHeight="1" x14ac:dyDescent="0.2">
      <c r="A12" s="13" t="s">
        <v>8</v>
      </c>
      <c r="B12" s="13"/>
      <c r="C12" s="11"/>
      <c r="D12" s="11"/>
      <c r="E12" s="14">
        <f>IF('[1]Raw Data - Prior Year A-1'!E17:F17=0,"-",'[1]Raw Data - Prior Year A-1'!E17:F17)</f>
        <v>6258</v>
      </c>
      <c r="F12" s="14"/>
      <c r="G12" s="11"/>
      <c r="H12" s="11"/>
      <c r="I12" s="11"/>
      <c r="J12" s="11"/>
      <c r="K12" s="14">
        <f>IF('[1]Raw Data - Prior Year A-1'!K17:L17=0,"-",'[1]Raw Data - Prior Year A-1'!K17:L17)</f>
        <v>1</v>
      </c>
      <c r="L12" s="14"/>
      <c r="M12" s="11"/>
      <c r="N12" s="11"/>
      <c r="O12" s="11"/>
      <c r="P12" s="11"/>
      <c r="Q12" s="14">
        <f>IF('[1]Raw Data - Prior Year A-1'!Q17:R17=0,"-",'[1]Raw Data - Prior Year A-1'!Q17:R17)</f>
        <v>1505</v>
      </c>
      <c r="R12" s="14"/>
      <c r="S12" s="11"/>
      <c r="T12" s="11"/>
      <c r="U12" s="11"/>
      <c r="V12" s="11"/>
      <c r="W12" s="14">
        <f>IF('[1]Raw Data - Prior Year A-1'!W17:X17=0,"-",'[1]Raw Data - Prior Year A-1'!W17:X17)</f>
        <v>4752</v>
      </c>
      <c r="X12" s="14"/>
      <c r="Y12" s="11"/>
      <c r="Z12" s="11"/>
    </row>
    <row r="13" spans="1:26" ht="11.25" customHeight="1" x14ac:dyDescent="0.2">
      <c r="A13" s="13" t="s">
        <v>9</v>
      </c>
      <c r="B13" s="13"/>
      <c r="C13" s="11"/>
      <c r="D13" s="11"/>
      <c r="E13" s="14">
        <f>IF('[1]Raw Data - Prior Year A-1'!E18:F18=0,"-",'[1]Raw Data - Prior Year A-1'!E18:F18)</f>
        <v>1076</v>
      </c>
      <c r="F13" s="14"/>
      <c r="G13" s="11"/>
      <c r="H13" s="11"/>
      <c r="I13" s="11"/>
      <c r="J13" s="11"/>
      <c r="K13" s="14">
        <f>IF('[1]Raw Data - Prior Year A-1'!K18:L18=0,"-",'[1]Raw Data - Prior Year A-1'!K18:L18)</f>
        <v>6</v>
      </c>
      <c r="L13" s="14"/>
      <c r="M13" s="11"/>
      <c r="N13" s="11"/>
      <c r="O13" s="11"/>
      <c r="P13" s="11"/>
      <c r="Q13" s="14">
        <f>IF('[1]Raw Data - Prior Year A-1'!Q18:R18=0,"-",'[1]Raw Data - Prior Year A-1'!Q18:R18)</f>
        <v>345</v>
      </c>
      <c r="R13" s="14"/>
      <c r="S13" s="11"/>
      <c r="T13" s="11"/>
      <c r="U13" s="11"/>
      <c r="V13" s="11"/>
      <c r="W13" s="14">
        <f>IF('[1]Raw Data - Prior Year A-1'!W18:X18=0,"-",'[1]Raw Data - Prior Year A-1'!W18:X18)</f>
        <v>725</v>
      </c>
      <c r="X13" s="14"/>
      <c r="Y13" s="11"/>
      <c r="Z13" s="11"/>
    </row>
    <row r="14" spans="1:26" ht="11.25" customHeight="1" x14ac:dyDescent="0.2">
      <c r="A14" s="15"/>
      <c r="B14" s="15"/>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1.25" customHeight="1" x14ac:dyDescent="0.2">
      <c r="B15" s="12">
        <f>RIGHT('[1]Raw Data - Tab 28 Curr Term'!$A$1,4)-3</f>
        <v>2017</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1.25" customHeight="1" x14ac:dyDescent="0.2">
      <c r="A16" s="13" t="s">
        <v>7</v>
      </c>
      <c r="B16" s="13"/>
      <c r="C16" s="11"/>
      <c r="D16" s="11"/>
      <c r="E16" s="14">
        <f>IF('[1]Raw Data - Prior Year A-1'!E21:F21=0,"-",'[1]Raw Data - Prior Year A-1'!E21:F21)</f>
        <v>7390</v>
      </c>
      <c r="F16" s="14"/>
      <c r="G16" s="11"/>
      <c r="H16" s="11"/>
      <c r="I16" s="11"/>
      <c r="J16" s="11"/>
      <c r="K16" s="14">
        <f>IF('[1]Raw Data - Prior Year A-1'!K21:L21=0,"-",'[1]Raw Data - Prior Year A-1'!K21:L21)</f>
        <v>8</v>
      </c>
      <c r="L16" s="14"/>
      <c r="M16" s="11"/>
      <c r="N16" s="11"/>
      <c r="O16" s="11"/>
      <c r="P16" s="11"/>
      <c r="Q16" s="14">
        <f>IF('[1]Raw Data - Prior Year A-1'!Q21:R21=0,"-",'[1]Raw Data - Prior Year A-1'!Q21:R21)</f>
        <v>2062</v>
      </c>
      <c r="R16" s="14"/>
      <c r="S16" s="11"/>
      <c r="T16" s="11"/>
      <c r="U16" s="11"/>
      <c r="V16" s="11"/>
      <c r="W16" s="14">
        <f>IF('[1]Raw Data - Prior Year A-1'!W21:X21=0,"-",'[1]Raw Data - Prior Year A-1'!W21:X21)</f>
        <v>5320</v>
      </c>
      <c r="X16" s="14"/>
      <c r="Y16" s="11"/>
      <c r="Z16" s="11"/>
    </row>
    <row r="17" spans="1:26" ht="11.25" customHeight="1" x14ac:dyDescent="0.2">
      <c r="A17" s="13" t="s">
        <v>8</v>
      </c>
      <c r="B17" s="13"/>
      <c r="C17" s="11"/>
      <c r="D17" s="11"/>
      <c r="E17" s="14">
        <f>IF('[1]Raw Data - Prior Year A-1'!E22:F22=0,"-",'[1]Raw Data - Prior Year A-1'!E22:F22)</f>
        <v>6192</v>
      </c>
      <c r="F17" s="14"/>
      <c r="G17" s="11"/>
      <c r="H17" s="11"/>
      <c r="I17" s="11"/>
      <c r="J17" s="11"/>
      <c r="K17" s="14">
        <f>IF('[1]Raw Data - Prior Year A-1'!K22:L22=0,"-",'[1]Raw Data - Prior Year A-1'!K22:L22)</f>
        <v>1</v>
      </c>
      <c r="L17" s="14"/>
      <c r="M17" s="11"/>
      <c r="N17" s="11"/>
      <c r="O17" s="11"/>
      <c r="P17" s="11"/>
      <c r="Q17" s="14">
        <f>IF('[1]Raw Data - Prior Year A-1'!Q22:R22=0,"-",'[1]Raw Data - Prior Year A-1'!Q22:R22)</f>
        <v>1728</v>
      </c>
      <c r="R17" s="14"/>
      <c r="S17" s="11"/>
      <c r="T17" s="11"/>
      <c r="U17" s="11"/>
      <c r="V17" s="11"/>
      <c r="W17" s="14">
        <f>IF('[1]Raw Data - Prior Year A-1'!W22:X22=0,"-",'[1]Raw Data - Prior Year A-1'!W22:X22)</f>
        <v>4463</v>
      </c>
      <c r="X17" s="14"/>
      <c r="Y17" s="11"/>
      <c r="Z17" s="11"/>
    </row>
    <row r="18" spans="1:26" ht="11.25" customHeight="1" x14ac:dyDescent="0.2">
      <c r="A18" s="13" t="s">
        <v>9</v>
      </c>
      <c r="B18" s="13"/>
      <c r="C18" s="11"/>
      <c r="D18" s="11"/>
      <c r="E18" s="14">
        <f>IF('[1]Raw Data - Prior Year A-1'!E23:F23=0,"-",'[1]Raw Data - Prior Year A-1'!E23:F23)</f>
        <v>1198</v>
      </c>
      <c r="F18" s="14"/>
      <c r="G18" s="11"/>
      <c r="H18" s="11"/>
      <c r="I18" s="11"/>
      <c r="J18" s="11"/>
      <c r="K18" s="14">
        <f>IF('[1]Raw Data - Prior Year A-1'!K23:L23=0,"-",'[1]Raw Data - Prior Year A-1'!K23:L23)</f>
        <v>7</v>
      </c>
      <c r="L18" s="14"/>
      <c r="M18" s="11"/>
      <c r="N18" s="11"/>
      <c r="O18" s="11"/>
      <c r="P18" s="11"/>
      <c r="Q18" s="14">
        <f>IF('[1]Raw Data - Prior Year A-1'!Q23:R23=0,"-",'[1]Raw Data - Prior Year A-1'!Q23:R23)</f>
        <v>334</v>
      </c>
      <c r="R18" s="14"/>
      <c r="S18" s="11"/>
      <c r="T18" s="11"/>
      <c r="U18" s="11"/>
      <c r="V18" s="11"/>
      <c r="W18" s="14">
        <f>IF('[1]Raw Data - Prior Year A-1'!W23:X23=0,"-",'[1]Raw Data - Prior Year A-1'!W23:X23)</f>
        <v>857</v>
      </c>
      <c r="X18" s="14"/>
      <c r="Y18" s="11"/>
      <c r="Z18" s="11"/>
    </row>
    <row r="19" spans="1:26" ht="11.25" customHeight="1" x14ac:dyDescent="0.2">
      <c r="A19" s="15"/>
      <c r="B19" s="15"/>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1.25" customHeight="1" x14ac:dyDescent="0.2">
      <c r="B20" s="12">
        <f>RIGHT('[1]Raw Data - Tab 28 Curr Term'!$A$1,4)-2</f>
        <v>2018</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1.25" customHeight="1" x14ac:dyDescent="0.2">
      <c r="A21" s="13" t="str">
        <f>IF(E21&lt;&gt;'[1]Raw Data - Prior Year A-1'!E26,"Number of Cases on Docket "&amp;CHAR(185),IF(K21&lt;&gt;'[1]Raw Data - Prior Year A-1'!K26,"Number of Cases on Docket "&amp;CHAR(185),IF(Q21&lt;&gt;'[1]Raw Data - Prior Year A-1'!Q26,"Number of Cases on Docket "&amp;CHAR(185),IF(W21&lt;&gt;'[1]Raw Data - Prior Year A-1'!W26,"Number of Cases on Docket "&amp;CHAR(185),"Number of Cases on Docket"))))</f>
        <v>Number of Cases on Docket</v>
      </c>
      <c r="B21" s="13"/>
      <c r="C21" s="11"/>
      <c r="D21" s="11"/>
      <c r="E21" s="16">
        <f>IF(VLOOKUP(24,'[1]Raw Data - Tab 28 Curr Term'!$A$1:$J$100,7,FALSE)=0,"-",VLOOKUP(24,'[1]Raw Data - Tab 28 Curr Term'!$A$1:$J$100,7,FALSE))</f>
        <v>7626</v>
      </c>
      <c r="F21" s="16"/>
      <c r="G21" s="17"/>
      <c r="H21" s="17"/>
      <c r="I21" s="17"/>
      <c r="J21" s="17"/>
      <c r="K21" s="16">
        <f>IF(VLOOKUP(21,'[1]Raw Data - Tab 28 Curr Term'!$A$1:$J$100,7,FALSE)=0,"-",VLOOKUP(21,'[1]Raw Data - Tab 28 Curr Term'!$A$1:$J$100,7,FALSE))</f>
        <v>9</v>
      </c>
      <c r="L21" s="16"/>
      <c r="M21" s="17"/>
      <c r="N21" s="17"/>
      <c r="O21" s="17"/>
      <c r="P21" s="17"/>
      <c r="Q21" s="16">
        <f>IF(VLOOKUP(3,'[1]Raw Data - Tab 28 Curr Term'!$A$1:$J$100,7,FALSE)=0,"-",VLOOKUP(3,'[1]Raw Data - Tab 28 Curr Term'!$A$1:$J$100,7,FALSE))</f>
        <v>1915</v>
      </c>
      <c r="R21" s="16"/>
      <c r="S21" s="17"/>
      <c r="T21" s="17"/>
      <c r="U21" s="17"/>
      <c r="V21" s="17"/>
      <c r="W21" s="16">
        <f>IF(VLOOKUP(12,'[1]Raw Data - Tab 28 Curr Term'!$A$1:$J$100,7,FALSE)=0,"-",VLOOKUP(12,'[1]Raw Data - Tab 28 Curr Term'!$A$1:$J$100,7,FALSE))</f>
        <v>5702</v>
      </c>
      <c r="X21" s="16"/>
      <c r="Y21" s="11"/>
      <c r="Z21" s="11"/>
    </row>
    <row r="22" spans="1:26" ht="11.25" customHeight="1" x14ac:dyDescent="0.2">
      <c r="A22" s="13" t="str">
        <f>IF(E22&lt;&gt;'[1]Raw Data - Prior Year A-1'!E27,"Cases Disposed of "&amp;CHAR(185),IF(K22&lt;&gt;'[1]Raw Data - Prior Year A-1'!K27,"Cases Disposed of "&amp;CHAR(185),IF(Q22&lt;&gt;'[1]Raw Data - Prior Year A-1'!Q27,"Cases Disposed of "&amp;CHAR(185),IF(W22&lt;&gt;'[1]Raw Data - Prior Year A-1'!W27,"Cases Disposed of "&amp;CHAR(185),"Cases Disposed of"))))</f>
        <v>Cases Disposed of</v>
      </c>
      <c r="B22" s="13"/>
      <c r="C22" s="11"/>
      <c r="D22" s="11"/>
      <c r="E22" s="16">
        <f>IF(((VLOOKUP(8,'[1]Raw Data - Tab 28 Curr Term'!$A$1:$J$100,7,FALSE)+VLOOKUP(17,'[1]Raw Data - Tab 28 Curr Term'!$A$1:$J$100,7,FALSE)+VLOOKUP(22,'[1]Raw Data - Tab 28 Curr Term'!$A$1:$J$100,7,FALSE))-(VLOOKUP(4,'[1]Raw Data - Tab 28 Curr Term'!$A$1:$J$100,5,FALSE)+VLOOKUP(13,'[1]Raw Data - Tab 28 Curr Term'!$A$1:$J$100,5,FALSE)))=0,"-",((VLOOKUP(8,'[1]Raw Data - Tab 28 Curr Term'!$A$1:$J$100,7,FALSE)+VLOOKUP(17,'[1]Raw Data - Tab 28 Curr Term'!$A$1:$J$100,7,FALSE)+VLOOKUP(22,'[1]Raw Data - Tab 28 Curr Term'!$A$1:$J$100,7,FALSE))-(VLOOKUP(4,'[1]Raw Data - Tab 28 Curr Term'!$A$1:$J$100,5,FALSE)+VLOOKUP(13,'[1]Raw Data - Tab 28 Curr Term'!$A$1:$J$100,5,FALSE))))</f>
        <v>6528</v>
      </c>
      <c r="F22" s="16"/>
      <c r="G22" s="17"/>
      <c r="H22" s="17"/>
      <c r="I22" s="17"/>
      <c r="J22" s="17"/>
      <c r="K22" s="16">
        <f>IF(VLOOKUP(22,'[1]Raw Data - Tab 28 Curr Term'!$A$1:$J$100,7,FALSE)=0,"-",VLOOKUP(22,'[1]Raw Data - Tab 28 Curr Term'!$A$1:$J$100,7,FALSE))</f>
        <v>2</v>
      </c>
      <c r="L22" s="16"/>
      <c r="M22" s="17"/>
      <c r="N22" s="17"/>
      <c r="O22" s="17"/>
      <c r="P22" s="17"/>
      <c r="Q22" s="16">
        <f>IF(VLOOKUP(8,'[1]Raw Data - Tab 28 Curr Term'!$A$1:$J$100,7,FALSE)-VLOOKUP(4,'[1]Raw Data - Tab 28 Curr Term'!$A$1:$J$100,5,FALSE)=0,"-",VLOOKUP(8,'[1]Raw Data - Tab 28 Curr Term'!$A$1:$J$100,7,FALSE)-VLOOKUP(4,'[1]Raw Data - Tab 28 Curr Term'!$A$1:$J$100,5,FALSE))</f>
        <v>1583</v>
      </c>
      <c r="R22" s="16"/>
      <c r="S22" s="17"/>
      <c r="T22" s="17"/>
      <c r="U22" s="17"/>
      <c r="V22" s="17"/>
      <c r="W22" s="16">
        <f>IF(VLOOKUP(17,'[1]Raw Data - Tab 28 Curr Term'!$A$1:$J$100,7,FALSE)-VLOOKUP(13,'[1]Raw Data - Tab 28 Curr Term'!$A$1:$J$100,5,FALSE)=0,"-",VLOOKUP(17,'[1]Raw Data - Tab 28 Curr Term'!$A$1:$J$100,7,FALSE)-VLOOKUP(13,'[1]Raw Data - Tab 28 Curr Term'!$A$1:$J$100,5,FALSE))</f>
        <v>4943</v>
      </c>
      <c r="X22" s="16"/>
      <c r="Y22" s="11"/>
      <c r="Z22" s="11"/>
    </row>
    <row r="23" spans="1:26" ht="11.25" customHeight="1" x14ac:dyDescent="0.2">
      <c r="A23" s="13" t="str">
        <f>IF(E23&lt;&gt;'[1]Raw Data - Prior Year A-1'!E28,"Number Remaining on Docket "&amp;CHAR(185),IF(K23&lt;&gt;'[1]Raw Data - Prior Year A-1'!K28,"Number Remaining on Docket "&amp;CHAR(185),IF(Q23&lt;&gt;'[1]Raw Data - Prior Year A-1'!Q28,"Number Remaining on Docket "&amp;CHAR(185),IF(W23&lt;&gt;'[1]Raw Data - Prior Year A-1'!W28,"Number Remaining on Docket "&amp;CHAR(185),"Number Remaining on Docket"))))</f>
        <v>Number Remaining on Docket</v>
      </c>
      <c r="B23" s="13"/>
      <c r="C23" s="11"/>
      <c r="D23" s="11"/>
      <c r="E23" s="16">
        <f>IF((VLOOKUP(9,'[1]Raw Data - Tab 28 Curr Term'!$A$1:$J$100,7,FALSE)+VLOOKUP(18,'[1]Raw Data - Tab 28 Curr Term'!$A$1:$J$100,7,FALSE)+VLOOKUP(23,'[1]Raw Data - Tab 28 Curr Term'!$A$1:$J$100,7,FALSE)+VLOOKUP(4,'[1]Raw Data - Tab 28 Curr Term'!$A$1:$J$100,5,FALSE)+VLOOKUP(13,'[1]Raw Data - Tab 28 Curr Term'!$A$1:$J$100,5,FALSE))=0,"-",(VLOOKUP(9,'[1]Raw Data - Tab 28 Curr Term'!$A$1:$J$100,7,FALSE)+VLOOKUP(18,'[1]Raw Data - Tab 28 Curr Term'!$A$1:$J$100,7,FALSE)+VLOOKUP(23,'[1]Raw Data - Tab 28 Curr Term'!$A$1:$J$100,7,FALSE)+VLOOKUP(4,'[1]Raw Data - Tab 28 Curr Term'!$A$1:$J$100,5,FALSE)+VLOOKUP(13,'[1]Raw Data - Tab 28 Curr Term'!$A$1:$J$100,5,FALSE)))</f>
        <v>1094</v>
      </c>
      <c r="F23" s="16"/>
      <c r="G23" s="17"/>
      <c r="H23" s="17"/>
      <c r="I23" s="17"/>
      <c r="J23" s="17"/>
      <c r="K23" s="16">
        <f>IF(VLOOKUP(23,'[1]Raw Data - Tab 28 Curr Term'!$A$1:$J$100,7,FALSE)=0,"-",VLOOKUP(23,'[1]Raw Data - Tab 28 Curr Term'!$A$1:$J$100,7,FALSE))</f>
        <v>7</v>
      </c>
      <c r="L23" s="16"/>
      <c r="M23" s="17"/>
      <c r="N23" s="17"/>
      <c r="O23" s="17"/>
      <c r="P23" s="17"/>
      <c r="Q23" s="16">
        <f>IF(VLOOKUP(9,'[1]Raw Data - Tab 28 Curr Term'!$A$1:$J$100,7,FALSE)+VLOOKUP(4,'[1]Raw Data - Tab 28 Curr Term'!$A$1:$J$100,5,FALSE)=0,"-",VLOOKUP(9,'[1]Raw Data - Tab 28 Curr Term'!$A$1:$J$100,7,FALSE)+VLOOKUP(4,'[1]Raw Data - Tab 28 Curr Term'!$A$1:$J$100,5,FALSE))</f>
        <v>327</v>
      </c>
      <c r="R23" s="16"/>
      <c r="S23" s="17"/>
      <c r="T23" s="17"/>
      <c r="U23" s="17"/>
      <c r="V23" s="17"/>
      <c r="W23" s="16">
        <f>IF(VLOOKUP(18,'[1]Raw Data - Tab 28 Curr Term'!$A$1:$J$100,7,FALSE)+VLOOKUP(13,'[1]Raw Data - Tab 28 Curr Term'!$A$1:$J$100,5,FALSE)=0,"-",VLOOKUP(18,'[1]Raw Data - Tab 28 Curr Term'!$A$1:$J$100,7,FALSE)+VLOOKUP(13,'[1]Raw Data - Tab 28 Curr Term'!$A$1:$J$100,5,FALSE))</f>
        <v>760</v>
      </c>
      <c r="X23" s="16"/>
      <c r="Y23" s="11"/>
      <c r="Z23" s="11"/>
    </row>
    <row r="24" spans="1:26" ht="11.25" customHeight="1" x14ac:dyDescent="0.2">
      <c r="A24" s="15"/>
      <c r="B24" s="15"/>
      <c r="C24" s="11"/>
      <c r="D24" s="11"/>
      <c r="E24" s="17"/>
      <c r="F24" s="17"/>
      <c r="G24" s="17"/>
      <c r="H24" s="17"/>
      <c r="I24" s="17"/>
      <c r="J24" s="17"/>
      <c r="K24" s="17"/>
      <c r="L24" s="17"/>
      <c r="M24" s="17"/>
      <c r="N24" s="17"/>
      <c r="O24" s="17"/>
      <c r="P24" s="17"/>
      <c r="Q24" s="17"/>
      <c r="R24" s="17"/>
      <c r="S24" s="17"/>
      <c r="T24" s="17"/>
      <c r="U24" s="17"/>
      <c r="V24" s="17"/>
      <c r="W24" s="17"/>
      <c r="X24" s="17"/>
      <c r="Y24" s="11"/>
      <c r="Z24" s="11"/>
    </row>
    <row r="25" spans="1:26" ht="11.25" customHeight="1" x14ac:dyDescent="0.2">
      <c r="B25" s="12">
        <f>RIGHT('[1]Raw Data - Tab 28 Curr Term'!$A$1,4)-1</f>
        <v>2019</v>
      </c>
      <c r="C25" s="11"/>
      <c r="D25" s="11"/>
      <c r="E25" s="17"/>
      <c r="F25" s="17"/>
      <c r="G25" s="17"/>
      <c r="H25" s="17"/>
      <c r="I25" s="17"/>
      <c r="J25" s="17"/>
      <c r="K25" s="17"/>
      <c r="L25" s="17"/>
      <c r="M25" s="17"/>
      <c r="N25" s="17"/>
      <c r="O25" s="17"/>
      <c r="P25" s="17"/>
      <c r="Q25" s="17"/>
      <c r="R25" s="17"/>
      <c r="S25" s="17"/>
      <c r="T25" s="17"/>
      <c r="U25" s="17"/>
      <c r="V25" s="17"/>
      <c r="W25" s="17"/>
      <c r="X25" s="17"/>
      <c r="Y25" s="11"/>
      <c r="Z25" s="11"/>
    </row>
    <row r="26" spans="1:26" ht="11.25" customHeight="1" x14ac:dyDescent="0.2">
      <c r="A26" s="13" t="str">
        <f>IF(E26&lt;&gt;'[1]Raw Data - Prior Year A-1'!E31,"Number of Cases on Docket "&amp;CHAR(185),IF(K26&lt;&gt;'[1]Raw Data - Prior Year A-1'!K31,"Number of Cases on Docket "&amp;CHAR(185),IF(Q26&lt;&gt;'[1]Raw Data - Prior Year A-1'!Q31,"Number of Cases on Docket "&amp;CHAR(185),IF(W26&lt;&gt;'[1]Raw Data - Prior Year A-1'!W31,"Number of Cases on Docket "&amp;CHAR(185),"Number of Cases on Docket"))))</f>
        <v>Number of Cases on Docket</v>
      </c>
      <c r="B26" s="13"/>
      <c r="C26" s="11"/>
      <c r="D26" s="11"/>
      <c r="E26" s="16">
        <f>IF(VLOOKUP(24,'[1]Raw Data - Tab 28 Curr Term'!$A$1:$J$100,5,FALSE)=0,"-",VLOOKUP(24,'[1]Raw Data - Tab 28 Curr Term'!$A$1:$J$100,5,FALSE))</f>
        <v>6534</v>
      </c>
      <c r="F26" s="16"/>
      <c r="G26" s="17"/>
      <c r="H26" s="17"/>
      <c r="I26" s="17"/>
      <c r="J26" s="17"/>
      <c r="K26" s="16">
        <f>IF(VLOOKUP(21,'[1]Raw Data - Tab 28 Curr Term'!$A$1:$J$100,5,FALSE)=0,"-",VLOOKUP(21,'[1]Raw Data - Tab 28 Curr Term'!$A$1:$J$100,5,FALSE))</f>
        <v>10</v>
      </c>
      <c r="L26" s="16"/>
      <c r="M26" s="17"/>
      <c r="N26" s="17"/>
      <c r="O26" s="17"/>
      <c r="P26" s="17"/>
      <c r="Q26" s="16">
        <f>IF(VLOOKUP(3,'[1]Raw Data - Tab 28 Curr Term'!$A$1:$J$100,5,FALSE)=0,"-",VLOOKUP(3,'[1]Raw Data - Tab 28 Curr Term'!$A$1:$J$100,5,FALSE))</f>
        <v>1818</v>
      </c>
      <c r="R26" s="16"/>
      <c r="S26" s="17"/>
      <c r="T26" s="17"/>
      <c r="U26" s="17"/>
      <c r="V26" s="17"/>
      <c r="W26" s="16">
        <f>IF(VLOOKUP(12,'[1]Raw Data - Tab 28 Curr Term'!$A$1:$J$100,5,FALSE)=0,"-",VLOOKUP(12,'[1]Raw Data - Tab 28 Curr Term'!$A$1:$J$100,5,FALSE))</f>
        <v>4706</v>
      </c>
      <c r="X26" s="16"/>
      <c r="Y26" s="11"/>
      <c r="Z26" s="11"/>
    </row>
    <row r="27" spans="1:26" ht="11.25" customHeight="1" x14ac:dyDescent="0.2">
      <c r="A27" s="13" t="str">
        <f>IF(E27&lt;&gt;'[1]Raw Data - Prior Year A-1'!E32,"Cases Disposed of "&amp;CHAR(185),IF(K27&lt;&gt;'[1]Raw Data - Prior Year A-1'!K32,"Cases Disposed of "&amp;CHAR(185),IF(Q27&lt;&gt;'[1]Raw Data - Prior Year A-1'!Q32,"Cases Disposed of "&amp;CHAR(185),IF(W27&lt;&gt;'[1]Raw Data - Prior Year A-1'!W32,"Cases Disposed of "&amp;CHAR(185),"Cases Disposed of"))))</f>
        <v>Cases Disposed of ¹</v>
      </c>
      <c r="B27" s="13"/>
      <c r="C27" s="11"/>
      <c r="D27" s="11"/>
      <c r="E27" s="16">
        <f>IF(((VLOOKUP(8,'[1]Raw Data - Tab 28 Curr Term'!$A$1:$J$100,5,FALSE)+VLOOKUP(17,'[1]Raw Data - Tab 28 Curr Term'!$A$1:$J$100,5,FALSE)+VLOOKUP(22,'[1]Raw Data - Tab 28 Curr Term'!$A$1:$J$100,5,FALSE))-(VLOOKUP(4,'[1]Raw Data - Tab 28 Curr Term'!$A$1:$J$100,3,FALSE)+VLOOKUP(13,'[1]Raw Data - Tab 28 Curr Term'!$A$1:$J$100,3,FALSE)))=0,"-",((VLOOKUP(8,'[1]Raw Data - Tab 28 Curr Term'!$A$1:$J$100,5,FALSE)+VLOOKUP(17,'[1]Raw Data - Tab 28 Curr Term'!$A$1:$J$100,5,FALSE)+VLOOKUP(22,'[1]Raw Data - Tab 28 Curr Term'!$A$1:$J$100,5,FALSE))-(VLOOKUP(4,'[1]Raw Data - Tab 28 Curr Term'!$A$1:$J$100,3,FALSE)+VLOOKUP(13,'[1]Raw Data - Tab 28 Curr Term'!$A$1:$J$100,3,FALSE))))</f>
        <v>5712</v>
      </c>
      <c r="F27" s="16"/>
      <c r="G27" s="17"/>
      <c r="H27" s="17"/>
      <c r="I27" s="17"/>
      <c r="J27" s="17"/>
      <c r="K27" s="16">
        <f>IF(VLOOKUP(22,'[1]Raw Data - Tab 28 Curr Term'!$A$1:$J$100,5,FALSE)=0,"-",VLOOKUP(22,'[1]Raw Data - Tab 28 Curr Term'!$A$1:$J$100,5,FALSE))</f>
        <v>2</v>
      </c>
      <c r="L27" s="16"/>
      <c r="M27" s="17"/>
      <c r="N27" s="17"/>
      <c r="O27" s="17"/>
      <c r="P27" s="17"/>
      <c r="Q27" s="16">
        <f>IF(VLOOKUP(8,'[1]Raw Data - Tab 28 Curr Term'!$A$1:$J$100,5,FALSE)-VLOOKUP(4,'[1]Raw Data - Tab 28 Curr Term'!$A$1:$J$100,3,FALSE)=0,"-",VLOOKUP(8,'[1]Raw Data - Tab 28 Curr Term'!$A$1:$J$100,5,FALSE)-VLOOKUP(4,'[1]Raw Data - Tab 28 Curr Term'!$A$1:$J$100,3,FALSE))</f>
        <v>1509</v>
      </c>
      <c r="R27" s="16"/>
      <c r="S27" s="17"/>
      <c r="T27" s="17"/>
      <c r="U27" s="17"/>
      <c r="V27" s="17"/>
      <c r="W27" s="16">
        <f>IF(VLOOKUP(17,'[1]Raw Data - Tab 28 Curr Term'!$A$1:$J$100,5,FALSE)-VLOOKUP(13,'[1]Raw Data - Tab 28 Curr Term'!$A$1:$J$100,3,FALSE)=0,"-",VLOOKUP(17,'[1]Raw Data - Tab 28 Curr Term'!$A$1:$J$100,5,FALSE)-VLOOKUP(13,'[1]Raw Data - Tab 28 Curr Term'!$A$1:$J$100,3,FALSE))</f>
        <v>4201</v>
      </c>
      <c r="X27" s="16"/>
      <c r="Y27" s="11"/>
      <c r="Z27" s="11"/>
    </row>
    <row r="28" spans="1:26" ht="11.25" customHeight="1" x14ac:dyDescent="0.2">
      <c r="A28" s="13" t="str">
        <f>IF(E28&lt;&gt;'[1]Raw Data - Prior Year A-1'!E33,"Number Remaining on Docket "&amp;CHAR(185),IF(K28&lt;&gt;'[1]Raw Data - Prior Year A-1'!K33,"Number Remaining on Docket "&amp;CHAR(185),IF(Q28&lt;&gt;'[1]Raw Data - Prior Year A-1'!Q33,"Number Remaining on Docket "&amp;CHAR(185),IF(W28&lt;&gt;'[1]Raw Data - Prior Year A-1'!W33,"Number Remaining on Docket "&amp;CHAR(185),"Number Remaining on Docket"))))</f>
        <v>Number Remaining on Docket ¹</v>
      </c>
      <c r="B28" s="13"/>
      <c r="C28" s="11"/>
      <c r="D28" s="11"/>
      <c r="E28" s="16">
        <f>IF((VLOOKUP(9,'[1]Raw Data - Tab 28 Curr Term'!$A$1:$J$100,5,FALSE)+VLOOKUP(18,'[1]Raw Data - Tab 28 Curr Term'!$A$1:$J$100,5,FALSE)+VLOOKUP(23,'[1]Raw Data - Tab 28 Curr Term'!$A$1:$J$100,5,FALSE)+VLOOKUP(4,'[1]Raw Data - Tab 28 Curr Term'!$A$1:$J$100,3,FALSE)+VLOOKUP(13,'[1]Raw Data - Tab 28 Curr Term'!$A$1:$J$100,3,FALSE))=0,"-",(VLOOKUP(9,'[1]Raw Data - Tab 28 Curr Term'!$A$1:$J$100,5,FALSE)+VLOOKUP(18,'[1]Raw Data - Tab 28 Curr Term'!$A$1:$J$100,5,FALSE)+VLOOKUP(23,'[1]Raw Data - Tab 28 Curr Term'!$A$1:$J$100,5,FALSE)+VLOOKUP(4,'[1]Raw Data - Tab 28 Curr Term'!$A$1:$J$100,3,FALSE)+VLOOKUP(13,'[1]Raw Data - Tab 28 Curr Term'!$A$1:$J$100,3,FALSE)))</f>
        <v>822</v>
      </c>
      <c r="F28" s="16"/>
      <c r="G28" s="17"/>
      <c r="H28" s="17"/>
      <c r="I28" s="17"/>
      <c r="J28" s="17"/>
      <c r="K28" s="16">
        <f>IF(VLOOKUP(23,'[1]Raw Data - Tab 28 Curr Term'!$A$1:$J$100,5,FALSE)=0,"-",VLOOKUP(23,'[1]Raw Data - Tab 28 Curr Term'!$A$1:$J$100,5,FALSE))</f>
        <v>8</v>
      </c>
      <c r="L28" s="16"/>
      <c r="M28" s="17"/>
      <c r="N28" s="17"/>
      <c r="O28" s="17"/>
      <c r="P28" s="17"/>
      <c r="Q28" s="16">
        <f>IF(VLOOKUP(9,'[1]Raw Data - Tab 28 Curr Term'!$A$1:$J$100,5,FALSE)+VLOOKUP(4,'[1]Raw Data - Tab 28 Curr Term'!$A$1:$J$100,3,FALSE)=0,"-",VLOOKUP(9,'[1]Raw Data - Tab 28 Curr Term'!$A$1:$J$100,5,FALSE)+VLOOKUP(4,'[1]Raw Data - Tab 28 Curr Term'!$A$1:$J$100,3,FALSE))</f>
        <v>309</v>
      </c>
      <c r="R28" s="16"/>
      <c r="S28" s="17"/>
      <c r="T28" s="17"/>
      <c r="U28" s="17"/>
      <c r="V28" s="17"/>
      <c r="W28" s="16">
        <f>IF(VLOOKUP(18,'[1]Raw Data - Tab 28 Curr Term'!$A$1:$J$100,5,FALSE)+VLOOKUP(13,'[1]Raw Data - Tab 28 Curr Term'!$A$1:$J$100,3,FALSE)=0,"-",VLOOKUP(18,'[1]Raw Data - Tab 28 Curr Term'!$A$1:$J$100,5,FALSE)+VLOOKUP(13,'[1]Raw Data - Tab 28 Curr Term'!$A$1:$J$100,3,FALSE))</f>
        <v>505</v>
      </c>
      <c r="X28" s="16"/>
      <c r="Y28" s="11"/>
      <c r="Z28" s="11"/>
    </row>
    <row r="29" spans="1:26" ht="11.25" customHeight="1" x14ac:dyDescent="0.2">
      <c r="A29" s="15"/>
      <c r="B29" s="15"/>
      <c r="C29" s="11"/>
      <c r="D29" s="11"/>
      <c r="E29" s="17"/>
      <c r="F29" s="17"/>
      <c r="G29" s="17"/>
      <c r="H29" s="17"/>
      <c r="I29" s="17"/>
      <c r="J29" s="17"/>
      <c r="K29" s="17"/>
      <c r="L29" s="17"/>
      <c r="M29" s="17"/>
      <c r="N29" s="17"/>
      <c r="O29" s="17"/>
      <c r="P29" s="17"/>
      <c r="Q29" s="17"/>
      <c r="R29" s="17"/>
      <c r="S29" s="17"/>
      <c r="T29" s="17"/>
      <c r="U29" s="17"/>
      <c r="V29" s="17"/>
      <c r="W29" s="17"/>
      <c r="X29" s="17"/>
      <c r="Y29" s="11"/>
      <c r="Z29" s="11"/>
    </row>
    <row r="30" spans="1:26" ht="11.25" customHeight="1" x14ac:dyDescent="0.2">
      <c r="B30" s="12" t="str">
        <f>RIGHT('[1]Raw Data - Tab 28 Curr Term'!$A$1,4)</f>
        <v>2020</v>
      </c>
      <c r="C30" s="11"/>
      <c r="D30" s="11"/>
      <c r="E30" s="17"/>
      <c r="F30" s="17"/>
      <c r="G30" s="17"/>
      <c r="H30" s="17"/>
      <c r="I30" s="17"/>
      <c r="J30" s="17"/>
      <c r="K30" s="17"/>
      <c r="L30" s="17"/>
      <c r="M30" s="17"/>
      <c r="N30" s="17"/>
      <c r="O30" s="17"/>
      <c r="P30" s="17"/>
      <c r="Q30" s="17"/>
      <c r="R30" s="17"/>
      <c r="S30" s="17"/>
      <c r="T30" s="17"/>
      <c r="U30" s="17"/>
      <c r="V30" s="17"/>
      <c r="W30" s="17"/>
      <c r="X30" s="17"/>
      <c r="Y30" s="11"/>
      <c r="Z30" s="11"/>
    </row>
    <row r="31" spans="1:26" ht="11.25" customHeight="1" x14ac:dyDescent="0.2">
      <c r="A31" s="13" t="s">
        <v>7</v>
      </c>
      <c r="B31" s="13"/>
      <c r="C31" s="11"/>
      <c r="D31" s="11"/>
      <c r="E31" s="16">
        <f>IF(VLOOKUP(24,'[1]Raw Data - Tab 28 Curr Term'!$A$1:$J$100,3,FALSE)=0,"-",VLOOKUP(24,'[1]Raw Data - Tab 28 Curr Term'!$A$1:$J$100,3,FALSE))</f>
        <v>6129</v>
      </c>
      <c r="F31" s="16"/>
      <c r="G31" s="17"/>
      <c r="H31" s="17"/>
      <c r="I31" s="17"/>
      <c r="J31" s="17"/>
      <c r="K31" s="16">
        <f>IF(VLOOKUP(21,'[1]Raw Data - Tab 28 Curr Term'!$A$1:$J$100,3,FALSE)=0,"-",VLOOKUP(21,'[1]Raw Data - Tab 28 Curr Term'!$A$1:$J$100,3,FALSE))</f>
        <v>10</v>
      </c>
      <c r="L31" s="16"/>
      <c r="M31" s="17"/>
      <c r="N31" s="17"/>
      <c r="O31" s="17"/>
      <c r="P31" s="17"/>
      <c r="Q31" s="16">
        <f>IF(VLOOKUP(3,'[1]Raw Data - Tab 28 Curr Term'!$A$1:$J$100,3,FALSE)=0,"-",VLOOKUP(3,'[1]Raw Data - Tab 28 Curr Term'!$A$1:$J$100,3,FALSE))</f>
        <v>2137</v>
      </c>
      <c r="R31" s="16"/>
      <c r="S31" s="17"/>
      <c r="T31" s="17"/>
      <c r="U31" s="17"/>
      <c r="V31" s="17"/>
      <c r="W31" s="16">
        <f>IF(VLOOKUP(12,'[1]Raw Data - Tab 28 Curr Term'!$A$1:$J$100,3,FALSE)=0,"-",VLOOKUP(12,'[1]Raw Data - Tab 28 Curr Term'!$A$1:$J$100,3,FALSE))</f>
        <v>3982</v>
      </c>
      <c r="X31" s="16"/>
      <c r="Y31" s="11"/>
      <c r="Z31" s="11"/>
    </row>
    <row r="32" spans="1:26" ht="11.25" customHeight="1" x14ac:dyDescent="0.2">
      <c r="A32" s="13" t="s">
        <v>8</v>
      </c>
      <c r="B32" s="13"/>
      <c r="C32" s="11"/>
      <c r="D32" s="11"/>
      <c r="E32" s="16">
        <f>IF(((VLOOKUP(8,'[1]Raw Data - Tab 28 Curr Term'!$A$1:$J$100,3,FALSE)+VLOOKUP(17,'[1]Raw Data - Tab 28 Curr Term'!$A$1:$J$100,3,FALSE)+VLOOKUP(22,'[1]Raw Data - Tab 28 Curr Term'!$A$1:$J$100,3,FALSE))-(VLOOKUP(4,'[1]Raw Data - Tab 28 Curr Term'!$A$1:$J$100,3,FALSE)+VLOOKUP(13,'[1]Raw Data - Tab 28 Curr Term'!$A$1:$J$100,3,FALSE)))=0,"-",((VLOOKUP(8,'[1]Raw Data - Tab 28 Curr Term'!$A$1:$J$100,3,FALSE)+VLOOKUP(17,'[1]Raw Data - Tab 28 Curr Term'!$A$1:$J$100,3,FALSE)+VLOOKUP(22,'[1]Raw Data - Tab 28 Curr Term'!$A$1:$J$100,3,FALSE))-(VLOOKUP(4,'[1]Raw Data - Tab 28 Curr Term'!$A$1:$J$100,3,FALSE)+VLOOKUP(13,'[1]Raw Data - Tab 28 Curr Term'!$A$1:$J$100,3,FALSE))))</f>
        <v>5226</v>
      </c>
      <c r="F32" s="16"/>
      <c r="G32" s="17"/>
      <c r="H32" s="17"/>
      <c r="I32" s="17"/>
      <c r="J32" s="17"/>
      <c r="K32" s="16">
        <f>IF(VLOOKUP(22,'[1]Raw Data - Tab 28 Curr Term'!$A$1:$J$100,3,FALSE)=0,"-",VLOOKUP(22,'[1]Raw Data - Tab 28 Curr Term'!$A$1:$J$100,3,FALSE))</f>
        <v>6</v>
      </c>
      <c r="L32" s="16"/>
      <c r="M32" s="17"/>
      <c r="N32" s="17"/>
      <c r="O32" s="17"/>
      <c r="P32" s="17"/>
      <c r="Q32" s="16">
        <f>IF(VLOOKUP(8,'[1]Raw Data - Tab 28 Curr Term'!$A$1:$J$100,3,FALSE)-VLOOKUP(4,'[1]Raw Data - Tab 1 Next Term'!$A$1:$J$100,3,FALSE)=0,"-",VLOOKUP(8,'[1]Raw Data - Tab 28 Curr Term'!$A$1:$J$100,3,FALSE)-VLOOKUP(4,'[1]Raw Data - Tab 1 Next Term'!$A$1:$J$100,3,FALSE))</f>
        <v>1747</v>
      </c>
      <c r="R32" s="16"/>
      <c r="S32" s="17"/>
      <c r="T32" s="17"/>
      <c r="U32" s="17"/>
      <c r="V32" s="17"/>
      <c r="W32" s="16">
        <f>IF(VLOOKUP(17,'[1]Raw Data - Tab 28 Curr Term'!$A$1:$J$100,3,FALSE)-VLOOKUP(13,'[1]Raw Data - Tab 1 Next Term'!$A$1:$J$100,3,FALSE)=0,"-",VLOOKUP(17,'[1]Raw Data - Tab 28 Curr Term'!$A$1:$J$100,3,FALSE)-VLOOKUP(13,'[1]Raw Data - Tab 1 Next Term'!$A$1:$J$100,3,FALSE))</f>
        <v>3473</v>
      </c>
      <c r="X32" s="16"/>
      <c r="Y32" s="11"/>
      <c r="Z32" s="11"/>
    </row>
    <row r="33" spans="1:26" ht="11.25" customHeight="1" x14ac:dyDescent="0.2">
      <c r="A33" s="13" t="s">
        <v>9</v>
      </c>
      <c r="B33" s="13"/>
      <c r="C33" s="11"/>
      <c r="D33" s="11"/>
      <c r="E33" s="16">
        <f>IF((VLOOKUP(9,'[1]Raw Data - Tab 28 Curr Term'!$A$1:$J$100,3,FALSE)+VLOOKUP(18,'[1]Raw Data - Tab 28 Curr Term'!$A$1:$J$100,3,FALSE)+VLOOKUP(23,'[1]Raw Data - Tab 28 Curr Term'!$A$1:$J$100,3,FALSE)+VLOOKUP(4,'[1]Raw Data - Tab 28 Curr Term'!$A$1:$J$100,3,FALSE)+VLOOKUP(13,'[1]Raw Data - Tab 28 Curr Term'!$A$1:$J$100,3,FALSE))=0,"-",(VLOOKUP(9,'[1]Raw Data - Tab 28 Curr Term'!$A$1:$J$100,3,FALSE)+VLOOKUP(18,'[1]Raw Data - Tab 28 Curr Term'!$A$1:$J$100,3,FALSE)+VLOOKUP(23,'[1]Raw Data - Tab 28 Curr Term'!$A$1:$J$100,3,FALSE)+VLOOKUP(4,'[1]Raw Data - Tab 28 Curr Term'!$A$1:$J$100,3,FALSE)+VLOOKUP(13,'[1]Raw Data - Tab 28 Curr Term'!$A$1:$J$100,3,FALSE)))</f>
        <v>903</v>
      </c>
      <c r="F33" s="16"/>
      <c r="G33" s="17"/>
      <c r="H33" s="17"/>
      <c r="I33" s="17"/>
      <c r="J33" s="17"/>
      <c r="K33" s="16">
        <f>IF(VLOOKUP(23,'[1]Raw Data - Tab 28 Curr Term'!$A$1:$J$100,3,FALSE)=0,"-",VLOOKUP(23,'[1]Raw Data - Tab 28 Curr Term'!$A$1:$J$100,3,FALSE))</f>
        <v>4</v>
      </c>
      <c r="L33" s="16"/>
      <c r="M33" s="17"/>
      <c r="N33" s="17"/>
      <c r="O33" s="17"/>
      <c r="P33" s="17"/>
      <c r="Q33" s="16">
        <f>IF(VLOOKUP(9,'[1]Raw Data - Tab 28 Curr Term'!$A$1:$J$100,3,FALSE)+VLOOKUP(4,'[1]Raw Data - Tab 1 Next Term'!$A$1:$J$100,3,FALSE)=0,"-",VLOOKUP(9,'[1]Raw Data - Tab 28 Curr Term'!$A$1:$J$100,3,FALSE)+VLOOKUP(4,'[1]Raw Data - Tab 1 Next Term'!$A$1:$J$100,3,FALSE))</f>
        <v>390</v>
      </c>
      <c r="R33" s="16"/>
      <c r="S33" s="17"/>
      <c r="T33" s="17"/>
      <c r="U33" s="17"/>
      <c r="V33" s="17"/>
      <c r="W33" s="16">
        <f>IF(VLOOKUP(18,'[1]Raw Data - Tab 28 Curr Term'!$A$1:$J$100,3,FALSE)+VLOOKUP(13,'[1]Raw Data - Tab 1 Next Term'!$A$1:$J$100,3,FALSE)=0,"-",VLOOKUP(18,'[1]Raw Data - Tab 28 Curr Term'!$A$1:$J$100,3,FALSE)+VLOOKUP(13,'[1]Raw Data - Tab 1 Next Term'!$A$1:$J$100,3,FALSE))</f>
        <v>509</v>
      </c>
      <c r="X33" s="16"/>
      <c r="Y33" s="11"/>
      <c r="Z33" s="11"/>
    </row>
    <row r="34" spans="1:26" ht="11.25" customHeight="1" thickBot="1" x14ac:dyDescent="0.25">
      <c r="A34" s="13"/>
      <c r="B34" s="13"/>
      <c r="C34" s="11"/>
      <c r="D34" s="11"/>
      <c r="E34" s="18"/>
      <c r="F34" s="18"/>
      <c r="G34" s="11"/>
      <c r="H34" s="11"/>
      <c r="I34" s="11"/>
      <c r="J34" s="11"/>
      <c r="K34" s="18"/>
      <c r="L34" s="18"/>
      <c r="M34" s="11"/>
      <c r="N34" s="11"/>
      <c r="O34" s="11"/>
      <c r="P34" s="11"/>
      <c r="Q34" s="18"/>
      <c r="R34" s="18"/>
      <c r="S34" s="11"/>
      <c r="T34" s="11"/>
      <c r="U34" s="11"/>
      <c r="V34" s="11"/>
      <c r="W34" s="18"/>
      <c r="X34" s="18"/>
      <c r="Y34" s="11"/>
      <c r="Z34" s="11"/>
    </row>
    <row r="35" spans="1:26" ht="13.5" customHeight="1" x14ac:dyDescent="0.2">
      <c r="A35" s="19"/>
      <c r="B35" s="19"/>
      <c r="C35" s="19"/>
      <c r="D35" s="19"/>
      <c r="E35" s="19"/>
      <c r="F35" s="19"/>
      <c r="G35" s="20" t="s">
        <v>10</v>
      </c>
      <c r="H35" s="21"/>
      <c r="I35" s="21"/>
      <c r="J35" s="21"/>
      <c r="K35" s="21"/>
      <c r="L35" s="21"/>
      <c r="M35" s="21"/>
      <c r="N35" s="21"/>
      <c r="O35" s="21"/>
      <c r="P35" s="21"/>
      <c r="Q35" s="21"/>
      <c r="R35" s="21"/>
      <c r="S35" s="21"/>
      <c r="T35" s="21"/>
      <c r="U35" s="21"/>
      <c r="V35" s="21"/>
      <c r="W35" s="21"/>
      <c r="X35" s="21"/>
      <c r="Y35" s="21"/>
      <c r="Z35" s="21"/>
    </row>
    <row r="36" spans="1:26" ht="15" customHeight="1" x14ac:dyDescent="0.2">
      <c r="A36" s="22" t="s">
        <v>2</v>
      </c>
      <c r="B36" s="22"/>
      <c r="C36" s="22"/>
      <c r="D36" s="22"/>
      <c r="E36" s="22"/>
      <c r="F36" s="23"/>
      <c r="G36" s="24">
        <f>RIGHT('[1]Raw Data - Tab 28 Curr Term'!$A$1,4)-4</f>
        <v>2016</v>
      </c>
      <c r="H36" s="25"/>
      <c r="I36" s="25"/>
      <c r="J36" s="25"/>
      <c r="K36" s="24">
        <f>RIGHT('[1]Raw Data - Tab 28 Curr Term'!$A$1,4)-3</f>
        <v>2017</v>
      </c>
      <c r="L36" s="25"/>
      <c r="M36" s="25"/>
      <c r="N36" s="25"/>
      <c r="O36" s="24">
        <f>RIGHT('[1]Raw Data - Tab 28 Curr Term'!$A$1,4)-2</f>
        <v>2018</v>
      </c>
      <c r="P36" s="25"/>
      <c r="Q36" s="25"/>
      <c r="R36" s="25"/>
      <c r="S36" s="24">
        <f>RIGHT('[1]Raw Data - Tab 28 Curr Term'!$A$1,4)-1</f>
        <v>2019</v>
      </c>
      <c r="T36" s="25"/>
      <c r="U36" s="25"/>
      <c r="V36" s="25"/>
      <c r="W36" s="24" t="str">
        <f>RIGHT('[1]Raw Data - Tab 28 Curr Term'!$A$1,4)</f>
        <v>2020</v>
      </c>
      <c r="X36" s="25"/>
      <c r="Y36" s="25"/>
      <c r="Z36" s="25"/>
    </row>
    <row r="37" spans="1:26" ht="3.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1.25" customHeight="1" x14ac:dyDescent="0.2">
      <c r="A38" s="10"/>
      <c r="B38" s="10"/>
      <c r="C38" s="10"/>
      <c r="D38" s="10"/>
      <c r="E38" s="10"/>
      <c r="F38" s="10"/>
      <c r="H38" s="10"/>
      <c r="I38" s="10"/>
      <c r="L38" s="10"/>
      <c r="M38" s="10"/>
      <c r="P38" s="10"/>
      <c r="Q38" s="10"/>
      <c r="R38" s="26"/>
      <c r="S38" s="26"/>
      <c r="T38" s="10"/>
      <c r="U38" s="10"/>
      <c r="X38" s="10"/>
      <c r="Y38" s="10"/>
    </row>
    <row r="39" spans="1:26" ht="11.25" customHeight="1" x14ac:dyDescent="0.2">
      <c r="A39" s="13" t="s">
        <v>11</v>
      </c>
      <c r="B39" s="13"/>
      <c r="C39" s="13"/>
      <c r="D39" s="13"/>
      <c r="E39" s="13"/>
      <c r="F39" s="13"/>
      <c r="G39" s="26"/>
      <c r="H39" s="14">
        <f>IF('[1]Raw Data - Prior Year A-1'!L39=0,"-",'[1]Raw Data - Prior Year A-1'!L39)</f>
        <v>71</v>
      </c>
      <c r="I39" s="14"/>
      <c r="J39" s="26"/>
      <c r="K39" s="26"/>
      <c r="L39" s="14">
        <f>IF('[1]Raw Data - Prior Year A-1'!P39=0,"-",'[1]Raw Data - Prior Year A-1'!P39)</f>
        <v>69</v>
      </c>
      <c r="M39" s="14"/>
      <c r="N39" s="26"/>
      <c r="O39" s="26"/>
      <c r="P39" s="16">
        <f>IF(VLOOKUP(30,'[1]Raw Data - Tab 28 Curr Term'!$A$1:$J$100,7,FALSE)=0,"-", VLOOKUP(30,'[1]Raw Data - Tab 28 Curr Term'!$A$1:$J$100,7,FALSE))</f>
        <v>73</v>
      </c>
      <c r="Q39" s="16"/>
      <c r="R39" s="27"/>
      <c r="S39" s="27"/>
      <c r="T39" s="16">
        <f>IF(VLOOKUP(30,'[1]Raw Data - Tab 28 Curr Term'!$A$1:$J$100,5,FALSE)=0,"-",VLOOKUP(30,'[1]Raw Data - Tab 28 Curr Term'!$A$1:$J$100,5,FALSE))</f>
        <v>73</v>
      </c>
      <c r="U39" s="16"/>
      <c r="V39" s="27"/>
      <c r="W39" s="27"/>
      <c r="X39" s="16">
        <f>IF(VLOOKUP(30,'[1]Raw Data - Tab 28 Curr Term'!$A$1:$J$100,3,FALSE)=0,"-",VLOOKUP(30,'[1]Raw Data - Tab 28 Curr Term'!$A$1:$J$100,3,FALSE))</f>
        <v>72</v>
      </c>
      <c r="Y39" s="16"/>
    </row>
    <row r="40" spans="1:26" ht="11.25" customHeight="1" x14ac:dyDescent="0.2">
      <c r="A40" s="13" t="s">
        <v>12</v>
      </c>
      <c r="B40" s="13"/>
      <c r="C40" s="13"/>
      <c r="D40" s="13"/>
      <c r="E40" s="13"/>
      <c r="F40" s="13"/>
      <c r="G40" s="26"/>
      <c r="H40" s="14">
        <f>IF('[1]Raw Data - Prior Year A-1'!L40=0,"-",'[1]Raw Data - Prior Year A-1'!L40)</f>
        <v>68</v>
      </c>
      <c r="I40" s="14"/>
      <c r="J40" s="26"/>
      <c r="K40" s="26"/>
      <c r="L40" s="14">
        <f>IF('[1]Raw Data - Prior Year A-1'!P40=0,"-",'[1]Raw Data - Prior Year A-1'!P40)</f>
        <v>63</v>
      </c>
      <c r="M40" s="14"/>
      <c r="N40" s="26"/>
      <c r="O40" s="26"/>
      <c r="P40" s="16">
        <f>IF(VLOOKUP(36,'[1]Raw Data - Tab 28 Curr Term'!$A$1:$J$100,7,FALSE)=0,"-",VLOOKUP(36,'[1]Raw Data - Tab 28 Curr Term'!$A$1:$J$100,7,FALSE))</f>
        <v>69</v>
      </c>
      <c r="Q40" s="16"/>
      <c r="R40" s="27"/>
      <c r="S40" s="27"/>
      <c r="T40" s="16">
        <f>IF(VLOOKUP(36,'[1]Raw Data - Tab 28 Curr Term'!$A$1:$J$100,5,FALSE)=0,"-",VLOOKUP(36,'[1]Raw Data - Tab 28 Curr Term'!$A$1:$J$100,5,FALSE))</f>
        <v>69</v>
      </c>
      <c r="U40" s="16"/>
      <c r="V40" s="27"/>
      <c r="W40" s="27"/>
      <c r="X40" s="16">
        <f>IF(VLOOKUP(36,'[1]Raw Data - Tab 28 Curr Term'!$A$1:$J$100,3,FALSE)=0,"-",VLOOKUP(36,'[1]Raw Data - Tab 28 Curr Term'!$A$1:$J$100,3,FALSE))</f>
        <v>69</v>
      </c>
      <c r="Y40" s="16"/>
    </row>
    <row r="41" spans="1:26" ht="11.25" customHeight="1" x14ac:dyDescent="0.2">
      <c r="A41" s="13" t="s">
        <v>13</v>
      </c>
      <c r="B41" s="13"/>
      <c r="C41" s="13"/>
      <c r="D41" s="13"/>
      <c r="E41" s="13"/>
      <c r="F41" s="13"/>
      <c r="G41" s="26"/>
      <c r="H41" s="14">
        <f>IF('[1]Raw Data - Prior Year A-1'!L41=0,"-",'[1]Raw Data - Prior Year A-1'!L41)</f>
        <v>1</v>
      </c>
      <c r="I41" s="14"/>
      <c r="J41" s="26"/>
      <c r="K41" s="26"/>
      <c r="L41" s="14">
        <f>IF('[1]Raw Data - Prior Year A-1'!P41=0,"-",'[1]Raw Data - Prior Year A-1'!P41)</f>
        <v>6</v>
      </c>
      <c r="M41" s="14"/>
      <c r="N41" s="26"/>
      <c r="O41" s="26"/>
      <c r="P41" s="16">
        <f>IF(VLOOKUP(37,'[1]Raw Data - Tab 28 Curr Term'!$A$1:$J$100,7,FALSE)=0,"-",VLOOKUP(37,'[1]Raw Data - Tab 28 Curr Term'!$A$1:$J$100,7,FALSE))</f>
        <v>2</v>
      </c>
      <c r="Q41" s="16"/>
      <c r="R41" s="27"/>
      <c r="S41" s="27"/>
      <c r="T41" s="16">
        <f>IF(VLOOKUP(37,'[1]Raw Data - Tab 28 Curr Term'!$A$1:$J$100,5,FALSE)=0,"-",VLOOKUP(37,'[1]Raw Data - Tab 28 Curr Term'!$A$1:$J$100,5,FALSE))</f>
        <v>4</v>
      </c>
      <c r="U41" s="16"/>
      <c r="V41" s="27"/>
      <c r="W41" s="27"/>
      <c r="X41" s="16">
        <f>IF(VLOOKUP(37,'[1]Raw Data - Tab 28 Curr Term'!$A$1:$J$100,3,FALSE)=0,"-",VLOOKUP(37,'[1]Raw Data - Tab 28 Curr Term'!$A$1:$J$100,3,FALSE))</f>
        <v>3</v>
      </c>
      <c r="Y41" s="16"/>
    </row>
    <row r="42" spans="1:26" ht="11.25" customHeight="1" x14ac:dyDescent="0.2">
      <c r="A42" s="13" t="s">
        <v>14</v>
      </c>
      <c r="B42" s="13"/>
      <c r="C42" s="13"/>
      <c r="D42" s="13"/>
      <c r="E42" s="13"/>
      <c r="F42" s="13"/>
      <c r="G42" s="26"/>
      <c r="H42" s="14">
        <f>IF('[1]Raw Data - Prior Year A-1'!L42=0,"-",'[1]Raw Data - Prior Year A-1'!L42)</f>
        <v>2</v>
      </c>
      <c r="I42" s="14"/>
      <c r="J42" s="26"/>
      <c r="K42" s="26"/>
      <c r="L42" s="14" t="str">
        <f>IF('[1]Raw Data - Prior Year A-1'!P42=0,"-",'[1]Raw Data - Prior Year A-1'!P42)</f>
        <v>-</v>
      </c>
      <c r="M42" s="14"/>
      <c r="N42" s="26"/>
      <c r="O42" s="26"/>
      <c r="P42" s="16">
        <f>IF(VLOOKUP(38,'[1]Raw Data - Tab 28 Curr Term'!$A$1:$J$100,7,FALSE)=0,"-",VLOOKUP(38,'[1]Raw Data - Tab 28 Curr Term'!$A$1:$J$100,7,FALSE))</f>
        <v>2</v>
      </c>
      <c r="Q42" s="16"/>
      <c r="R42" s="27"/>
      <c r="S42" s="27"/>
      <c r="T42" s="16" t="str">
        <f>IF(VLOOKUP(38,'[1]Raw Data - Tab 28 Curr Term'!$A$1:$J$100,5,FALSE)=0,"-",VLOOKUP(38,'[1]Raw Data - Tab 28 Curr Term'!$A$1:$J$100,5,FALSE))</f>
        <v>-</v>
      </c>
      <c r="U42" s="16"/>
      <c r="V42" s="27"/>
      <c r="W42" s="27"/>
      <c r="X42" s="16" t="str">
        <f>IF(VLOOKUP(38,'[1]Raw Data - Tab 28 Curr Term'!$A$1:$J$100,3,FALSE)=0,"-",VLOOKUP(38,'[1]Raw Data - Tab 28 Curr Term'!$A$1:$J$100,3,FALSE))</f>
        <v>-</v>
      </c>
      <c r="Y42" s="16"/>
    </row>
    <row r="43" spans="1:26" ht="11.25" customHeight="1" x14ac:dyDescent="0.2">
      <c r="A43" s="13" t="s">
        <v>15</v>
      </c>
      <c r="B43" s="13"/>
      <c r="C43" s="13"/>
      <c r="D43" s="13"/>
      <c r="E43" s="13"/>
      <c r="F43" s="13"/>
      <c r="G43" s="26"/>
      <c r="H43" s="14">
        <f>IF('[1]Raw Data - Prior Year A-1'!L43=0,"-",'[1]Raw Data - Prior Year A-1'!L43)</f>
        <v>75</v>
      </c>
      <c r="I43" s="14"/>
      <c r="J43" s="26"/>
      <c r="K43" s="26"/>
      <c r="L43" s="14">
        <f>IF('[1]Raw Data - Prior Year A-1'!P43=0,"-",'[1]Raw Data - Prior Year A-1'!P43)</f>
        <v>78</v>
      </c>
      <c r="M43" s="14"/>
      <c r="N43" s="26"/>
      <c r="O43" s="26"/>
      <c r="P43" s="16">
        <f>IF(VLOOKUP(26,'[1]Raw Data - Tab 28 Curr Term'!$A$1:$J$100,7,FALSE)=0,"-",VLOOKUP(26,'[1]Raw Data - Tab 28 Curr Term'!$A$1:$J$100,7,FALSE))</f>
        <v>86</v>
      </c>
      <c r="Q43" s="16"/>
      <c r="R43" s="27"/>
      <c r="S43" s="27"/>
      <c r="T43" s="16">
        <f>IF(VLOOKUP(26,'[1]Raw Data - Tab 28 Curr Term'!$A$1:$J$100,5,FALSE)=0,"-",VLOOKUP(26,'[1]Raw Data - Tab 28 Curr Term'!$A$1:$J$100,5,FALSE))</f>
        <v>60</v>
      </c>
      <c r="U43" s="16"/>
      <c r="V43" s="27"/>
      <c r="W43" s="27"/>
      <c r="X43" s="16">
        <f>IF(VLOOKUP(26,'[1]Raw Data - Tab 28 Curr Term'!$A$1:$J$100,3,FALSE)=0,"-",VLOOKUP(26,'[1]Raw Data - Tab 28 Curr Term'!$A$1:$J$100,3,FALSE))</f>
        <v>72</v>
      </c>
      <c r="Y43" s="16"/>
    </row>
    <row r="44" spans="1:26" ht="11.25" customHeight="1" x14ac:dyDescent="0.2">
      <c r="A44" s="13" t="s">
        <v>16</v>
      </c>
      <c r="B44" s="13"/>
      <c r="C44" s="13"/>
      <c r="D44" s="13"/>
      <c r="E44" s="13"/>
      <c r="F44" s="13"/>
      <c r="G44" s="26"/>
      <c r="H44" s="14">
        <f>IF('[1]Raw Data - Prior Year A-1'!L44=0,"-",'[1]Raw Data - Prior Year A-1'!L44)</f>
        <v>66</v>
      </c>
      <c r="I44" s="14"/>
      <c r="J44" s="26"/>
      <c r="K44" s="26"/>
      <c r="L44" s="14">
        <f>IF('[1]Raw Data - Prior Year A-1'!P44=0,"-",'[1]Raw Data - Prior Year A-1'!P44)</f>
        <v>103</v>
      </c>
      <c r="M44" s="14"/>
      <c r="N44" s="26"/>
      <c r="O44" s="26"/>
      <c r="P44" s="16">
        <f>IF(VLOOKUP(6,'[1]Raw Data - Tab 28 Curr Term'!$A$1:$J$100,7,FALSE)+VLOOKUP(15,'[1]Raw Data - Tab 28 Curr Term'!$A$1:$J$100,7,FALSE)=0,"-",VLOOKUP(6,'[1]Raw Data - Tab 28 Curr Term'!$A$1:$J$100,7,FALSE)+VLOOKUP(15,'[1]Raw Data - Tab 28 Curr Term'!$A$1:$J$100,7,FALSE))</f>
        <v>56</v>
      </c>
      <c r="Q44" s="16"/>
      <c r="R44" s="27"/>
      <c r="S44" s="27"/>
      <c r="T44" s="16">
        <f>IF(VLOOKUP(6,'[1]Raw Data - Tab 28 Curr Term'!$A$1:$J$100,5,FALSE)+VLOOKUP(15,'[1]Raw Data - Tab 28 Curr Term'!$A$1:$J$100,5,FALSE)=0,"-",VLOOKUP(6,'[1]Raw Data - Tab 28 Curr Term'!$A$1:$J$100,5,FALSE)+VLOOKUP(15,'[1]Raw Data - Tab 28 Curr Term'!$A$1:$J$100,5,FALSE))</f>
        <v>105</v>
      </c>
      <c r="U44" s="16"/>
      <c r="V44" s="27"/>
      <c r="W44" s="27"/>
      <c r="X44" s="16">
        <f>IF(VLOOKUP(6,'[1]Raw Data - Tab 28 Curr Term'!$A$1:$J$100,3,FALSE)+VLOOKUP(15,'[1]Raw Data - Tab 28 Curr Term'!$A$1:$J$100,3,FALSE)=0,"-",VLOOKUP(6,'[1]Raw Data - Tab 28 Curr Term'!$A$1:$J$100,3,FALSE)+VLOOKUP(15,'[1]Raw Data - Tab 28 Curr Term'!$A$1:$J$100,3,FALSE))</f>
        <v>91</v>
      </c>
      <c r="Y44" s="16"/>
    </row>
    <row r="45" spans="1:26" ht="11.25" customHeight="1" x14ac:dyDescent="0.2">
      <c r="A45" s="13" t="s">
        <v>17</v>
      </c>
      <c r="B45" s="13"/>
      <c r="C45" s="13"/>
      <c r="D45" s="13"/>
      <c r="E45" s="13"/>
      <c r="F45" s="13"/>
      <c r="G45" s="26"/>
      <c r="H45" s="14">
        <f>IF('[1]Raw Data - Prior Year A-1'!L45=0,"-",'[1]Raw Data - Prior Year A-1'!L45)</f>
        <v>32</v>
      </c>
      <c r="I45" s="14"/>
      <c r="J45" s="26"/>
      <c r="K45" s="26"/>
      <c r="L45" s="14">
        <f>IF('[1]Raw Data - Prior Year A-1'!P45=0,"-",'[1]Raw Data - Prior Year A-1'!P45)</f>
        <v>38</v>
      </c>
      <c r="M45" s="14"/>
      <c r="N45" s="26"/>
      <c r="O45" s="26"/>
      <c r="P45" s="16">
        <f>IF(VLOOKUP("to be argued next Term………………………",'[1]Raw Data - Tab 28 Curr Term'!$B$1:$J$100,6,FALSE)=0,"-",VLOOKUP("to be argued next Term………………………",'[1]Raw Data - Tab 28 Curr Term'!$B$1:$J$100,6,FALSE))</f>
        <v>50</v>
      </c>
      <c r="Q45" s="16"/>
      <c r="R45" s="27"/>
      <c r="S45" s="27"/>
      <c r="T45" s="16">
        <f>IF(VLOOKUP("to be argued next Term………………………",'[1]Raw Data - Tab 28 Curr Term'!$B$1:$J$100,4,FALSE)=0,"-",VLOOKUP("to be argued next Term………………………",'[1]Raw Data - Tab 28 Curr Term'!$B$1:$J$100,4,FALSE))</f>
        <v>37</v>
      </c>
      <c r="U45" s="16"/>
      <c r="V45" s="27"/>
      <c r="W45" s="27"/>
      <c r="X45" s="16">
        <f>IF(VLOOKUP("to be argued next Term………………………",'[1]Raw Data - Tab 28 Curr Term'!$B$1:$J$100,2,FALSE)=0,"-",VLOOKUP("to be argued next Term………………………",'[1]Raw Data - Tab 28 Curr Term'!$B$1:$J$100,2,FALSE))</f>
        <v>31</v>
      </c>
      <c r="Y45" s="16"/>
    </row>
    <row r="46" spans="1:26" ht="11.25" customHeight="1" x14ac:dyDescent="0.2">
      <c r="A46" s="28"/>
      <c r="B46" s="28"/>
      <c r="C46" s="28"/>
      <c r="D46" s="28"/>
      <c r="E46" s="28"/>
      <c r="F46" s="28"/>
      <c r="G46" s="29"/>
      <c r="H46" s="30"/>
      <c r="I46" s="30"/>
      <c r="J46" s="29"/>
      <c r="K46" s="29"/>
      <c r="L46" s="30"/>
      <c r="M46" s="30"/>
      <c r="N46" s="29"/>
      <c r="O46" s="29"/>
      <c r="P46" s="30"/>
      <c r="Q46" s="30"/>
      <c r="R46" s="29"/>
      <c r="S46" s="29"/>
      <c r="T46" s="30"/>
      <c r="U46" s="30"/>
      <c r="V46" s="29"/>
      <c r="W46" s="29"/>
      <c r="X46" s="30"/>
      <c r="Y46" s="30"/>
      <c r="Z46" s="29"/>
    </row>
    <row r="47" spans="1:26" ht="36" customHeight="1" x14ac:dyDescent="0.2">
      <c r="A47" s="31" t="s">
        <v>18</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1.25" customHeight="1" x14ac:dyDescent="0.2">
      <c r="A48" s="1" t="str">
        <f>IF(RIGHT(A21,1)=CHAR(185),CHAR(185)&amp;" Revised.",IF(RIGHT(A22,1)=CHAR(185),CHAR(185)&amp;" Revised.",IF(RIGHT(A23,1)=CHAR(185),CHAR(185)&amp;" Revised.",IF(RIGHT(A26,1)=CHAR(185),CHAR(185)&amp;" Revised.",IF(RIGHT(A27,1)=CHAR(185),CHAR(185)&amp;" Revised.",IF(RIGHT(A28,1)=CHAR(185),CHAR(185)&amp;" Revised."," "))))))</f>
        <v>¹ Revised.</v>
      </c>
    </row>
    <row r="49" ht="11.25" customHeight="1" x14ac:dyDescent="0.2"/>
    <row r="50" ht="13.5" customHeight="1" x14ac:dyDescent="0.2"/>
  </sheetData>
  <sheetProtection sheet="1" objects="1" scenarios="1"/>
  <mergeCells count="415">
    <mergeCell ref="A47:Z47"/>
    <mergeCell ref="A46:F46"/>
    <mergeCell ref="H46:I46"/>
    <mergeCell ref="L46:M46"/>
    <mergeCell ref="P46:Q46"/>
    <mergeCell ref="T46:U46"/>
    <mergeCell ref="X46:Y46"/>
    <mergeCell ref="A45:F45"/>
    <mergeCell ref="H45:I45"/>
    <mergeCell ref="L45:M45"/>
    <mergeCell ref="P45:Q45"/>
    <mergeCell ref="T45:U45"/>
    <mergeCell ref="X45:Y45"/>
    <mergeCell ref="A44:F44"/>
    <mergeCell ref="H44:I44"/>
    <mergeCell ref="L44:M44"/>
    <mergeCell ref="P44:Q44"/>
    <mergeCell ref="T44:U44"/>
    <mergeCell ref="X44:Y44"/>
    <mergeCell ref="A43:F43"/>
    <mergeCell ref="H43:I43"/>
    <mergeCell ref="L43:M43"/>
    <mergeCell ref="P43:Q43"/>
    <mergeCell ref="T43:U43"/>
    <mergeCell ref="X43:Y43"/>
    <mergeCell ref="A42:F42"/>
    <mergeCell ref="H42:I42"/>
    <mergeCell ref="L42:M42"/>
    <mergeCell ref="P42:Q42"/>
    <mergeCell ref="T42:U42"/>
    <mergeCell ref="X42:Y42"/>
    <mergeCell ref="A41:F41"/>
    <mergeCell ref="H41:I41"/>
    <mergeCell ref="L41:M41"/>
    <mergeCell ref="P41:Q41"/>
    <mergeCell ref="T41:U41"/>
    <mergeCell ref="X41:Y41"/>
    <mergeCell ref="A40:F40"/>
    <mergeCell ref="H40:I40"/>
    <mergeCell ref="L40:M40"/>
    <mergeCell ref="P40:Q40"/>
    <mergeCell ref="T40:U40"/>
    <mergeCell ref="X40:Y40"/>
    <mergeCell ref="A39:F39"/>
    <mergeCell ref="H39:I39"/>
    <mergeCell ref="L39:M39"/>
    <mergeCell ref="P39:Q39"/>
    <mergeCell ref="T39:U39"/>
    <mergeCell ref="X39:Y39"/>
    <mergeCell ref="A38:F38"/>
    <mergeCell ref="H38:I38"/>
    <mergeCell ref="L38:M38"/>
    <mergeCell ref="P38:Q38"/>
    <mergeCell ref="T38:U38"/>
    <mergeCell ref="X38:Y38"/>
    <mergeCell ref="A37:F37"/>
    <mergeCell ref="G37:J37"/>
    <mergeCell ref="K37:N37"/>
    <mergeCell ref="O37:R37"/>
    <mergeCell ref="S37:V37"/>
    <mergeCell ref="W37:Z37"/>
    <mergeCell ref="A36:F36"/>
    <mergeCell ref="G36:J36"/>
    <mergeCell ref="K36:N36"/>
    <mergeCell ref="O36:R36"/>
    <mergeCell ref="S36:V36"/>
    <mergeCell ref="W36:Z36"/>
    <mergeCell ref="S34:T34"/>
    <mergeCell ref="U34:V34"/>
    <mergeCell ref="W34:X34"/>
    <mergeCell ref="Y34:Z34"/>
    <mergeCell ref="A35:F35"/>
    <mergeCell ref="G35:Z35"/>
    <mergeCell ref="Y33:Z33"/>
    <mergeCell ref="A34:B34"/>
    <mergeCell ref="C34:D34"/>
    <mergeCell ref="E34:F34"/>
    <mergeCell ref="G34:H34"/>
    <mergeCell ref="I34:J34"/>
    <mergeCell ref="K34:L34"/>
    <mergeCell ref="M34:N34"/>
    <mergeCell ref="O34:P34"/>
    <mergeCell ref="Q34:R34"/>
    <mergeCell ref="M33:N33"/>
    <mergeCell ref="O33:P33"/>
    <mergeCell ref="Q33:R33"/>
    <mergeCell ref="S33:T33"/>
    <mergeCell ref="U33:V33"/>
    <mergeCell ref="W33:X33"/>
    <mergeCell ref="S32:T32"/>
    <mergeCell ref="U32:V32"/>
    <mergeCell ref="W32:X32"/>
    <mergeCell ref="Y32:Z32"/>
    <mergeCell ref="A33:B33"/>
    <mergeCell ref="C33:D33"/>
    <mergeCell ref="E33:F33"/>
    <mergeCell ref="G33:H33"/>
    <mergeCell ref="I33:J33"/>
    <mergeCell ref="K33:L33"/>
    <mergeCell ref="Y31:Z31"/>
    <mergeCell ref="A32:B32"/>
    <mergeCell ref="C32:D32"/>
    <mergeCell ref="E32:F32"/>
    <mergeCell ref="G32:H32"/>
    <mergeCell ref="I32:J32"/>
    <mergeCell ref="K32:L32"/>
    <mergeCell ref="M32:N32"/>
    <mergeCell ref="O32:P32"/>
    <mergeCell ref="Q32:R32"/>
    <mergeCell ref="M31:N31"/>
    <mergeCell ref="O31:P31"/>
    <mergeCell ref="Q31:R31"/>
    <mergeCell ref="S31:T31"/>
    <mergeCell ref="U31:V31"/>
    <mergeCell ref="W31:X31"/>
    <mergeCell ref="A31:B31"/>
    <mergeCell ref="C31:D31"/>
    <mergeCell ref="E31:F31"/>
    <mergeCell ref="G31:H31"/>
    <mergeCell ref="I31:J31"/>
    <mergeCell ref="K31:L31"/>
    <mergeCell ref="O30:P30"/>
    <mergeCell ref="Q30:R30"/>
    <mergeCell ref="S30:T30"/>
    <mergeCell ref="U30:V30"/>
    <mergeCell ref="W30:X30"/>
    <mergeCell ref="Y30:Z30"/>
    <mergeCell ref="S29:T29"/>
    <mergeCell ref="U29:V29"/>
    <mergeCell ref="W29:X29"/>
    <mergeCell ref="Y29:Z29"/>
    <mergeCell ref="C30:D30"/>
    <mergeCell ref="E30:F30"/>
    <mergeCell ref="G30:H30"/>
    <mergeCell ref="I30:J30"/>
    <mergeCell ref="K30:L30"/>
    <mergeCell ref="M30:N30"/>
    <mergeCell ref="Y28:Z28"/>
    <mergeCell ref="A29:B29"/>
    <mergeCell ref="C29:D29"/>
    <mergeCell ref="E29:F29"/>
    <mergeCell ref="G29:H29"/>
    <mergeCell ref="I29:J29"/>
    <mergeCell ref="K29:L29"/>
    <mergeCell ref="M29:N29"/>
    <mergeCell ref="O29:P29"/>
    <mergeCell ref="Q29:R29"/>
    <mergeCell ref="M28:N28"/>
    <mergeCell ref="O28:P28"/>
    <mergeCell ref="Q28:R28"/>
    <mergeCell ref="S28:T28"/>
    <mergeCell ref="U28:V28"/>
    <mergeCell ref="W28:X28"/>
    <mergeCell ref="S27:T27"/>
    <mergeCell ref="U27:V27"/>
    <mergeCell ref="W27:X27"/>
    <mergeCell ref="Y27:Z27"/>
    <mergeCell ref="A28:B28"/>
    <mergeCell ref="C28:D28"/>
    <mergeCell ref="E28:F28"/>
    <mergeCell ref="G28:H28"/>
    <mergeCell ref="I28:J28"/>
    <mergeCell ref="K28:L28"/>
    <mergeCell ref="Y26:Z26"/>
    <mergeCell ref="A27:B27"/>
    <mergeCell ref="C27:D27"/>
    <mergeCell ref="E27:F27"/>
    <mergeCell ref="G27:H27"/>
    <mergeCell ref="I27:J27"/>
    <mergeCell ref="K27:L27"/>
    <mergeCell ref="M27:N27"/>
    <mergeCell ref="O27:P27"/>
    <mergeCell ref="Q27:R27"/>
    <mergeCell ref="M26:N26"/>
    <mergeCell ref="O26:P26"/>
    <mergeCell ref="Q26:R26"/>
    <mergeCell ref="S26:T26"/>
    <mergeCell ref="U26:V26"/>
    <mergeCell ref="W26:X26"/>
    <mergeCell ref="A26:B26"/>
    <mergeCell ref="C26:D26"/>
    <mergeCell ref="E26:F26"/>
    <mergeCell ref="G26:H26"/>
    <mergeCell ref="I26:J26"/>
    <mergeCell ref="K26:L26"/>
    <mergeCell ref="O25:P25"/>
    <mergeCell ref="Q25:R25"/>
    <mergeCell ref="S25:T25"/>
    <mergeCell ref="U25:V25"/>
    <mergeCell ref="W25:X25"/>
    <mergeCell ref="Y25:Z25"/>
    <mergeCell ref="S24:T24"/>
    <mergeCell ref="U24:V24"/>
    <mergeCell ref="W24:X24"/>
    <mergeCell ref="Y24:Z24"/>
    <mergeCell ref="C25:D25"/>
    <mergeCell ref="E25:F25"/>
    <mergeCell ref="G25:H25"/>
    <mergeCell ref="I25:J25"/>
    <mergeCell ref="K25:L25"/>
    <mergeCell ref="M25:N25"/>
    <mergeCell ref="Y23:Z23"/>
    <mergeCell ref="A24:B24"/>
    <mergeCell ref="C24:D24"/>
    <mergeCell ref="E24:F24"/>
    <mergeCell ref="G24:H24"/>
    <mergeCell ref="I24:J24"/>
    <mergeCell ref="K24:L24"/>
    <mergeCell ref="M24:N24"/>
    <mergeCell ref="O24:P24"/>
    <mergeCell ref="Q24:R24"/>
    <mergeCell ref="M23:N23"/>
    <mergeCell ref="O23:P23"/>
    <mergeCell ref="Q23:R23"/>
    <mergeCell ref="S23:T23"/>
    <mergeCell ref="U23:V23"/>
    <mergeCell ref="W23:X23"/>
    <mergeCell ref="S22:T22"/>
    <mergeCell ref="U22:V22"/>
    <mergeCell ref="W22:X22"/>
    <mergeCell ref="Y22:Z22"/>
    <mergeCell ref="A23:B23"/>
    <mergeCell ref="C23:D23"/>
    <mergeCell ref="E23:F23"/>
    <mergeCell ref="G23:H23"/>
    <mergeCell ref="I23:J23"/>
    <mergeCell ref="K23:L23"/>
    <mergeCell ref="Y21:Z21"/>
    <mergeCell ref="A22:B22"/>
    <mergeCell ref="C22:D22"/>
    <mergeCell ref="E22:F22"/>
    <mergeCell ref="G22:H22"/>
    <mergeCell ref="I22:J22"/>
    <mergeCell ref="K22:L22"/>
    <mergeCell ref="M22:N22"/>
    <mergeCell ref="O22:P22"/>
    <mergeCell ref="Q22:R22"/>
    <mergeCell ref="M21:N21"/>
    <mergeCell ref="O21:P21"/>
    <mergeCell ref="Q21:R21"/>
    <mergeCell ref="S21:T21"/>
    <mergeCell ref="U21:V21"/>
    <mergeCell ref="W21:X21"/>
    <mergeCell ref="A21:B21"/>
    <mergeCell ref="C21:D21"/>
    <mergeCell ref="E21:F21"/>
    <mergeCell ref="G21:H21"/>
    <mergeCell ref="I21:J21"/>
    <mergeCell ref="K21:L21"/>
    <mergeCell ref="O20:P20"/>
    <mergeCell ref="Q20:R20"/>
    <mergeCell ref="S20:T20"/>
    <mergeCell ref="U20:V20"/>
    <mergeCell ref="W20:X20"/>
    <mergeCell ref="Y20:Z20"/>
    <mergeCell ref="S19:T19"/>
    <mergeCell ref="U19:V19"/>
    <mergeCell ref="W19:X19"/>
    <mergeCell ref="Y19:Z19"/>
    <mergeCell ref="C20:D20"/>
    <mergeCell ref="E20:F20"/>
    <mergeCell ref="G20:H20"/>
    <mergeCell ref="I20:J20"/>
    <mergeCell ref="K20:L20"/>
    <mergeCell ref="M20:N20"/>
    <mergeCell ref="Y18:Z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W18:X18"/>
    <mergeCell ref="S17:T17"/>
    <mergeCell ref="U17:V17"/>
    <mergeCell ref="W17:X17"/>
    <mergeCell ref="Y17:Z17"/>
    <mergeCell ref="A18:B18"/>
    <mergeCell ref="C18:D18"/>
    <mergeCell ref="E18:F18"/>
    <mergeCell ref="G18:H18"/>
    <mergeCell ref="I18:J18"/>
    <mergeCell ref="K18:L18"/>
    <mergeCell ref="Y16:Z16"/>
    <mergeCell ref="A17:B17"/>
    <mergeCell ref="C17:D17"/>
    <mergeCell ref="E17:F17"/>
    <mergeCell ref="G17:H17"/>
    <mergeCell ref="I17:J17"/>
    <mergeCell ref="K17:L17"/>
    <mergeCell ref="M17:N17"/>
    <mergeCell ref="O17:P17"/>
    <mergeCell ref="Q17:R17"/>
    <mergeCell ref="M16:N16"/>
    <mergeCell ref="O16:P16"/>
    <mergeCell ref="Q16:R16"/>
    <mergeCell ref="S16:T16"/>
    <mergeCell ref="U16:V16"/>
    <mergeCell ref="W16:X16"/>
    <mergeCell ref="A16:B16"/>
    <mergeCell ref="C16:D16"/>
    <mergeCell ref="E16:F16"/>
    <mergeCell ref="G16:H16"/>
    <mergeCell ref="I16:J16"/>
    <mergeCell ref="K16:L16"/>
    <mergeCell ref="O15:P15"/>
    <mergeCell ref="Q15:R15"/>
    <mergeCell ref="S15:T15"/>
    <mergeCell ref="U15:V15"/>
    <mergeCell ref="W15:X15"/>
    <mergeCell ref="Y15:Z15"/>
    <mergeCell ref="S14:T14"/>
    <mergeCell ref="U14:V14"/>
    <mergeCell ref="W14:X14"/>
    <mergeCell ref="Y14:Z14"/>
    <mergeCell ref="C15:D15"/>
    <mergeCell ref="E15:F15"/>
    <mergeCell ref="G15:H15"/>
    <mergeCell ref="I15:J15"/>
    <mergeCell ref="K15:L15"/>
    <mergeCell ref="M15:N15"/>
    <mergeCell ref="Y13:Z13"/>
    <mergeCell ref="A14:B14"/>
    <mergeCell ref="C14:D14"/>
    <mergeCell ref="E14:F14"/>
    <mergeCell ref="G14:H14"/>
    <mergeCell ref="I14:J14"/>
    <mergeCell ref="K14:L14"/>
    <mergeCell ref="M14:N14"/>
    <mergeCell ref="O14:P14"/>
    <mergeCell ref="Q14:R14"/>
    <mergeCell ref="M13:N13"/>
    <mergeCell ref="O13:P13"/>
    <mergeCell ref="Q13:R13"/>
    <mergeCell ref="S13:T13"/>
    <mergeCell ref="U13:V13"/>
    <mergeCell ref="W13:X13"/>
    <mergeCell ref="S12:T12"/>
    <mergeCell ref="U12:V12"/>
    <mergeCell ref="W12:X12"/>
    <mergeCell ref="Y12:Z12"/>
    <mergeCell ref="A13:B13"/>
    <mergeCell ref="C13:D13"/>
    <mergeCell ref="E13:F13"/>
    <mergeCell ref="G13:H13"/>
    <mergeCell ref="I13:J13"/>
    <mergeCell ref="K13:L13"/>
    <mergeCell ref="Y11:Z11"/>
    <mergeCell ref="A12:B12"/>
    <mergeCell ref="C12:D12"/>
    <mergeCell ref="E12:F12"/>
    <mergeCell ref="G12:H12"/>
    <mergeCell ref="I12:J12"/>
    <mergeCell ref="K12:L12"/>
    <mergeCell ref="M12:N12"/>
    <mergeCell ref="O12:P12"/>
    <mergeCell ref="Q12:R12"/>
    <mergeCell ref="M11:N11"/>
    <mergeCell ref="O11:P11"/>
    <mergeCell ref="Q11:R11"/>
    <mergeCell ref="S11:T11"/>
    <mergeCell ref="U11:V11"/>
    <mergeCell ref="W11:X11"/>
    <mergeCell ref="S10:T10"/>
    <mergeCell ref="U10:V10"/>
    <mergeCell ref="W10:X10"/>
    <mergeCell ref="Y10:Z10"/>
    <mergeCell ref="A11:B11"/>
    <mergeCell ref="C11:D11"/>
    <mergeCell ref="E11:F11"/>
    <mergeCell ref="G11:H11"/>
    <mergeCell ref="I11:J11"/>
    <mergeCell ref="K11:L11"/>
    <mergeCell ref="W9:X9"/>
    <mergeCell ref="Y9:Z9"/>
    <mergeCell ref="C10:D10"/>
    <mergeCell ref="E10:F10"/>
    <mergeCell ref="G10:H10"/>
    <mergeCell ref="I10:J10"/>
    <mergeCell ref="K10:L10"/>
    <mergeCell ref="M10:N10"/>
    <mergeCell ref="O10:P10"/>
    <mergeCell ref="Q10:R10"/>
    <mergeCell ref="K9:L9"/>
    <mergeCell ref="M9:N9"/>
    <mergeCell ref="O9:P9"/>
    <mergeCell ref="Q9:R9"/>
    <mergeCell ref="S9:T9"/>
    <mergeCell ref="U9:V9"/>
    <mergeCell ref="A8:B8"/>
    <mergeCell ref="C8:H8"/>
    <mergeCell ref="I8:N8"/>
    <mergeCell ref="O8:T8"/>
    <mergeCell ref="U8:Z8"/>
    <mergeCell ref="A9:B9"/>
    <mergeCell ref="C9:D9"/>
    <mergeCell ref="E9:F9"/>
    <mergeCell ref="G9:H9"/>
    <mergeCell ref="I9:J9"/>
    <mergeCell ref="A2:Z2"/>
    <mergeCell ref="A3:Z3"/>
    <mergeCell ref="A4:Z4"/>
    <mergeCell ref="A6:B7"/>
    <mergeCell ref="C6:H7"/>
    <mergeCell ref="I6:N7"/>
    <mergeCell ref="O6:T7"/>
    <mergeCell ref="U6:Z7"/>
  </mergeCells>
  <conditionalFormatting sqref="K21:L21 Q21:R21 W21:X21 E21:F23 Q31:R31 W31:X31 P39:Q39 T39:U39 X39:Y39 E26:F28 E31:F33">
    <cfRule type="cellIs" dxfId="13" priority="14" operator="equal">
      <formula>"ERROR"</formula>
    </cfRule>
  </conditionalFormatting>
  <conditionalFormatting sqref="E16:F18 K11:L13 K16:L18 Q11:R13 Q16:R18 W11:X13 W16:X18">
    <cfRule type="containsBlanks" dxfId="12" priority="13">
      <formula>LEN(TRIM(E11))=0</formula>
    </cfRule>
  </conditionalFormatting>
  <conditionalFormatting sqref="E11:F13">
    <cfRule type="containsBlanks" dxfId="11" priority="12">
      <formula>LEN(TRIM(E11))=0</formula>
    </cfRule>
  </conditionalFormatting>
  <conditionalFormatting sqref="H39:I39">
    <cfRule type="containsBlanks" dxfId="10" priority="11">
      <formula>LEN(TRIM(H39))=0</formula>
    </cfRule>
  </conditionalFormatting>
  <conditionalFormatting sqref="H40:I40">
    <cfRule type="containsBlanks" dxfId="9" priority="10">
      <formula>LEN(TRIM(H40))=0</formula>
    </cfRule>
  </conditionalFormatting>
  <conditionalFormatting sqref="H41:I41">
    <cfRule type="containsBlanks" dxfId="8" priority="9">
      <formula>LEN(TRIM(H41))=0</formula>
    </cfRule>
  </conditionalFormatting>
  <conditionalFormatting sqref="L39:M39">
    <cfRule type="containsBlanks" dxfId="7" priority="8">
      <formula>LEN(TRIM(L39))=0</formula>
    </cfRule>
  </conditionalFormatting>
  <conditionalFormatting sqref="H42:I45">
    <cfRule type="containsBlanks" dxfId="6" priority="7">
      <formula>LEN(TRIM(H42))=0</formula>
    </cfRule>
  </conditionalFormatting>
  <conditionalFormatting sqref="L40:M40">
    <cfRule type="containsBlanks" dxfId="5" priority="6">
      <formula>LEN(TRIM(L40))=0</formula>
    </cfRule>
  </conditionalFormatting>
  <conditionalFormatting sqref="L41:M41">
    <cfRule type="containsBlanks" dxfId="4" priority="5">
      <formula>LEN(TRIM(L41))=0</formula>
    </cfRule>
  </conditionalFormatting>
  <conditionalFormatting sqref="L42:M42">
    <cfRule type="containsBlanks" dxfId="3" priority="4">
      <formula>LEN(TRIM(L42))=0</formula>
    </cfRule>
  </conditionalFormatting>
  <conditionalFormatting sqref="L43:M43">
    <cfRule type="containsBlanks" dxfId="2" priority="3">
      <formula>LEN(TRIM(L43))=0</formula>
    </cfRule>
  </conditionalFormatting>
  <conditionalFormatting sqref="L44:M44">
    <cfRule type="containsBlanks" dxfId="1" priority="2">
      <formula>LEN(TRIM(L44))=0</formula>
    </cfRule>
  </conditionalFormatting>
  <conditionalFormatting sqref="L45:M45">
    <cfRule type="containsBlanks" dxfId="0" priority="1">
      <formula>LEN(TRIM(L45))=0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Tiffanie Snyder</dc:creator>
  <cp:lastModifiedBy>Tiffanie Snyder</cp:lastModifiedBy>
  <dcterms:created xsi:type="dcterms:W3CDTF">2021-10-18T13:41:33Z</dcterms:created>
  <dcterms:modified xsi:type="dcterms:W3CDTF">2021-10-18T13:47:00Z</dcterms:modified>
</cp:coreProperties>
</file>