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Quarter Close Tables\Supreme Court\Sep 2024\uscourts.gov\"/>
    </mc:Choice>
  </mc:AlternateContent>
  <xr:revisionPtr revIDLastSave="0" documentId="13_ncr:1_{F91722DA-F835-4115-9C84-C2CBA047529E}" xr6:coauthVersionLast="47" xr6:coauthVersionMax="47" xr10:uidLastSave="{00000000-0000-0000-0000-000000000000}"/>
  <bookViews>
    <workbookView xWindow="-110" yWindow="-110" windowWidth="19420" windowHeight="10420" xr2:uid="{758DE373-B57C-4C08-8551-74375455C179}"/>
  </bookViews>
  <sheets>
    <sheet name="Formatted 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1" l="1"/>
  <c r="T45" i="1"/>
  <c r="P45" i="1"/>
  <c r="L45" i="1"/>
  <c r="H45" i="1"/>
  <c r="X44" i="1"/>
  <c r="T44" i="1"/>
  <c r="P44" i="1"/>
  <c r="L44" i="1"/>
  <c r="H44" i="1"/>
  <c r="X43" i="1"/>
  <c r="T43" i="1"/>
  <c r="P43" i="1"/>
  <c r="L43" i="1"/>
  <c r="H43" i="1"/>
  <c r="X42" i="1"/>
  <c r="T42" i="1"/>
  <c r="P42" i="1"/>
  <c r="L42" i="1"/>
  <c r="H42" i="1"/>
  <c r="X41" i="1"/>
  <c r="T41" i="1"/>
  <c r="P41" i="1"/>
  <c r="L41" i="1"/>
  <c r="H41" i="1"/>
  <c r="X40" i="1"/>
  <c r="T40" i="1"/>
  <c r="P40" i="1"/>
  <c r="L40" i="1"/>
  <c r="H40" i="1"/>
  <c r="X39" i="1"/>
  <c r="T39" i="1"/>
  <c r="P39" i="1"/>
  <c r="L39" i="1"/>
  <c r="H39" i="1"/>
  <c r="W36" i="1"/>
  <c r="S36" i="1"/>
  <c r="O36" i="1"/>
  <c r="K36" i="1"/>
  <c r="G36" i="1"/>
  <c r="W33" i="1"/>
  <c r="Q33" i="1"/>
  <c r="K33" i="1"/>
  <c r="E33" i="1" s="1"/>
  <c r="W32" i="1"/>
  <c r="Q32" i="1"/>
  <c r="K32" i="1"/>
  <c r="W31" i="1"/>
  <c r="Q31" i="1"/>
  <c r="K31" i="1"/>
  <c r="E31" i="1"/>
  <c r="B30" i="1"/>
  <c r="W28" i="1"/>
  <c r="Q28" i="1"/>
  <c r="K28" i="1"/>
  <c r="W27" i="1"/>
  <c r="Q27" i="1"/>
  <c r="K27" i="1"/>
  <c r="E27" i="1"/>
  <c r="A27" i="1" s="1"/>
  <c r="W26" i="1"/>
  <c r="Q26" i="1"/>
  <c r="K26" i="1"/>
  <c r="E26" i="1"/>
  <c r="A26" i="1" s="1"/>
  <c r="B25" i="1"/>
  <c r="W23" i="1"/>
  <c r="Q23" i="1"/>
  <c r="K23" i="1"/>
  <c r="E23" i="1"/>
  <c r="W22" i="1"/>
  <c r="Q22" i="1"/>
  <c r="A22" i="1" s="1"/>
  <c r="K22" i="1"/>
  <c r="E22" i="1"/>
  <c r="W21" i="1"/>
  <c r="Q21" i="1"/>
  <c r="K21" i="1"/>
  <c r="E21" i="1"/>
  <c r="A21" i="1" s="1"/>
  <c r="B20" i="1"/>
  <c r="W18" i="1"/>
  <c r="Q18" i="1"/>
  <c r="K18" i="1"/>
  <c r="E18" i="1"/>
  <c r="W17" i="1"/>
  <c r="Q17" i="1"/>
  <c r="K17" i="1"/>
  <c r="E17" i="1"/>
  <c r="W16" i="1"/>
  <c r="Q16" i="1"/>
  <c r="K16" i="1"/>
  <c r="E16" i="1"/>
  <c r="B15" i="1"/>
  <c r="W13" i="1"/>
  <c r="Q13" i="1"/>
  <c r="K13" i="1"/>
  <c r="E13" i="1"/>
  <c r="W12" i="1"/>
  <c r="Q12" i="1"/>
  <c r="K12" i="1"/>
  <c r="E12" i="1"/>
  <c r="W11" i="1"/>
  <c r="Q11" i="1"/>
  <c r="K11" i="1"/>
  <c r="E11" i="1"/>
  <c r="B10" i="1"/>
  <c r="A4" i="1"/>
  <c r="E28" i="1" l="1"/>
  <c r="A28" i="1" s="1"/>
  <c r="E32" i="1"/>
  <c r="A23" i="1"/>
  <c r="A48" i="1" s="1"/>
</calcChain>
</file>

<file path=xl/sharedStrings.xml><?xml version="1.0" encoding="utf-8"?>
<sst xmlns="http://schemas.openxmlformats.org/spreadsheetml/2006/main" count="26" uniqueCount="19">
  <si>
    <t>Table A-1.</t>
  </si>
  <si>
    <t>Supreme Court of the United States—Cases on Docket, Disposed of, and Remaining on Docket</t>
  </si>
  <si>
    <t>Cases</t>
  </si>
  <si>
    <t>Total</t>
  </si>
  <si>
    <t>Original</t>
  </si>
  <si>
    <t>Paid</t>
  </si>
  <si>
    <t>In Forma Pauperis</t>
  </si>
  <si>
    <t>Number of Cases on Docket</t>
  </si>
  <si>
    <t>Cases Disposed of</t>
  </si>
  <si>
    <t>Number Remaining on Docket</t>
  </si>
  <si>
    <t>October Terms</t>
  </si>
  <si>
    <t>Cases Argued During Term</t>
  </si>
  <si>
    <t>Number Disposed of by Full Opinions</t>
  </si>
  <si>
    <t>Number Disposed of by per Curiam Opinions</t>
  </si>
  <si>
    <t>Number Set for Re-Argument Next Term</t>
  </si>
  <si>
    <t>Total Cases Granted Plenary Review</t>
  </si>
  <si>
    <t>Cases Reviewed and Decided Without Oral Argument</t>
  </si>
  <si>
    <t>Total Cases Available for Argument at Start of Next Term</t>
  </si>
  <si>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of the federal Judiciary, the date associated with each reporting period is the year in which that period ended). This report is furnished by the Supreme Court of the United States. This table presents data on cases filed in prior terms as well as cases docketed during the current term. The data in this table is not identical to the data reported in the Chief Justice’s Year-End Reports on the Federal Judiciary.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</si>
</sst>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8"/>
      <color theme="1"/>
      <name val="Arial"/>
      <family val="2"/>
    </font>
    <font>
      <b/>
      <sz val="10"/>
      <color theme="1"/>
      <name val="Arial"/>
      <family val="2"/>
    </font>
    <font>
      <b/>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xf numFmtId="0" fontId="4" fillId="0" borderId="0" xfId="0" applyFont="1" applyAlignment="1">
      <alignment horizontal="left"/>
    </xf>
    <xf numFmtId="164" fontId="2" fillId="0" borderId="0" xfId="1" applyNumberFormat="1" applyFont="1"/>
    <xf numFmtId="164" fontId="2" fillId="0" borderId="0" xfId="1" applyNumberFormat="1" applyFont="1" applyFill="1"/>
    <xf numFmtId="0" fontId="2" fillId="0" borderId="4" xfId="0" applyFont="1" applyBorder="1"/>
    <xf numFmtId="0" fontId="2" fillId="0" borderId="0" xfId="0" applyFont="1" applyAlignment="1">
      <alignment horizontal="left" wrapText="1"/>
    </xf>
    <xf numFmtId="0" fontId="2" fillId="0" borderId="4" xfId="0" applyFont="1" applyBorder="1" applyAlignment="1">
      <alignment horizontal="left"/>
    </xf>
    <xf numFmtId="0" fontId="2" fillId="0" borderId="4" xfId="0" applyFont="1" applyBorder="1" applyAlignment="1">
      <alignment horizontal="center"/>
    </xf>
    <xf numFmtId="0" fontId="2" fillId="0" borderId="0" xfId="0" applyFont="1" applyAlignment="1">
      <alignment horizontal="left"/>
    </xf>
    <xf numFmtId="164" fontId="2" fillId="0" borderId="0" xfId="1" applyNumberFormat="1" applyFont="1" applyFill="1" applyAlignment="1" applyProtection="1">
      <alignment horizontal="right"/>
    </xf>
    <xf numFmtId="164" fontId="2" fillId="0" borderId="0" xfId="1" applyNumberFormat="1" applyFont="1" applyFill="1" applyAlignment="1">
      <alignment horizontal="right"/>
    </xf>
    <xf numFmtId="0" fontId="2" fillId="0" borderId="1" xfId="0" applyFont="1" applyBorder="1" applyAlignment="1">
      <alignment horizontal="center"/>
    </xf>
    <xf numFmtId="0" fontId="2" fillId="0" borderId="7" xfId="0" applyFont="1" applyBorder="1" applyAlignment="1">
      <alignment horizont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64" fontId="2" fillId="0" borderId="0" xfId="1" applyNumberFormat="1" applyFont="1" applyAlignment="1">
      <alignment horizontal="center"/>
    </xf>
    <xf numFmtId="164" fontId="2" fillId="0" borderId="0" xfId="1" applyNumberFormat="1" applyFont="1" applyAlignment="1">
      <alignment horizontal="right"/>
    </xf>
    <xf numFmtId="0" fontId="4" fillId="0" borderId="8"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64" fontId="2" fillId="0" borderId="0" xfId="1" applyNumberFormat="1" applyFont="1" applyFill="1" applyAlignment="1">
      <alignment horizontal="center"/>
    </xf>
    <xf numFmtId="0" fontId="2" fillId="0" borderId="0" xfId="0" applyFont="1" applyAlignment="1">
      <alignment horizontal="center"/>
    </xf>
    <xf numFmtId="0" fontId="3" fillId="0" borderId="0" xfId="0" applyFont="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cellXfs>
  <cellStyles count="2">
    <cellStyle name="Comma" xfId="1" builtinId="3"/>
    <cellStyle name="Normal"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25</xdr:col>
      <xdr:colOff>201611</xdr:colOff>
      <xdr:row>0</xdr:row>
      <xdr:rowOff>47625</xdr:rowOff>
    </xdr:to>
    <xdr:cxnSp macro="">
      <xdr:nvCxnSpPr>
        <xdr:cNvPr id="2" name="Straight Connector 1">
          <a:extLst>
            <a:ext uri="{FF2B5EF4-FFF2-40B4-BE49-F238E27FC236}">
              <a16:creationId xmlns:a16="http://schemas.microsoft.com/office/drawing/2014/main" id="{6F0EC5AD-7BD0-48A8-B316-7D5D62DF56F9}"/>
            </a:ext>
          </a:extLst>
        </xdr:cNvPr>
        <xdr:cNvCxnSpPr/>
      </xdr:nvCxnSpPr>
      <xdr:spPr>
        <a:xfrm>
          <a:off x="28574" y="47625"/>
          <a:ext cx="8021637"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Quarter%20Close%20Tables\Supreme%20Court\Sep%202024\SCOTUS%20Table%20A-1%20Template%20v1-91%20Sep%202024.xlsx" TargetMode="External"/><Relationship Id="rId1" Type="http://schemas.openxmlformats.org/officeDocument/2006/relationships/externalLinkPath" Target="/Quarter%20Close%20Tables/Supreme%20Court/Sep%202024/SCOTUS%20Table%20A-1%20Template%20v1-91%20Sep%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cument History"/>
      <sheetName val="Instructions"/>
      <sheetName val="Formatted Report"/>
      <sheetName val="Raw Data - Completed Term"/>
      <sheetName val="Raw Data - Next Term"/>
      <sheetName val="Raw Data - Prior Year A-1"/>
    </sheetNames>
    <sheetDataSet>
      <sheetData sheetId="0"/>
      <sheetData sheetId="1"/>
      <sheetData sheetId="2"/>
      <sheetData sheetId="3">
        <row r="1">
          <cell r="A1" t="str">
            <v xml:space="preserve"> October Term, 2023</v>
          </cell>
        </row>
        <row r="2">
          <cell r="A2" t="str">
            <v>Statistical Sheet No. 28</v>
          </cell>
        </row>
        <row r="3">
          <cell r="A3">
            <v>45475</v>
          </cell>
        </row>
        <row r="4">
          <cell r="B4" t="str">
            <v xml:space="preserve">        FINAL</v>
          </cell>
        </row>
        <row r="5">
          <cell r="E5" t="str">
            <v>TERM</v>
          </cell>
        </row>
        <row r="6">
          <cell r="C6" t="str">
            <v>CURRENT</v>
          </cell>
          <cell r="E6" t="str">
            <v>LAST</v>
          </cell>
          <cell r="G6" t="str">
            <v>O.T. 21</v>
          </cell>
        </row>
        <row r="7">
          <cell r="A7" t="str">
            <v>PAID CASES</v>
          </cell>
        </row>
        <row r="8">
          <cell r="A8">
            <v>1</v>
          </cell>
          <cell r="B8" t="str">
            <v>Cases from prior term………………………</v>
          </cell>
          <cell r="C8">
            <v>255</v>
          </cell>
          <cell r="E8">
            <v>280</v>
          </cell>
          <cell r="G8">
            <v>385</v>
          </cell>
        </row>
        <row r="9">
          <cell r="A9">
            <v>2</v>
          </cell>
          <cell r="B9" t="str">
            <v>Cases docketed during term……………..</v>
          </cell>
          <cell r="C9">
            <v>1375</v>
          </cell>
          <cell r="E9">
            <v>1252</v>
          </cell>
          <cell r="G9">
            <v>1611</v>
          </cell>
        </row>
        <row r="10">
          <cell r="A10">
            <v>3</v>
          </cell>
          <cell r="B10" t="str">
            <v>Cases on docket…………………………</v>
          </cell>
          <cell r="C10">
            <v>1630</v>
          </cell>
          <cell r="E10">
            <v>1529</v>
          </cell>
          <cell r="G10">
            <v>1996</v>
          </cell>
        </row>
        <row r="11">
          <cell r="A11">
            <v>4</v>
          </cell>
          <cell r="B11" t="str">
            <v>Cases granted review and carried over….</v>
          </cell>
          <cell r="C11">
            <v>21</v>
          </cell>
          <cell r="D11" t="str">
            <v>(20h)</v>
          </cell>
          <cell r="E11">
            <v>33</v>
          </cell>
          <cell r="F11" t="str">
            <v>(28h)</v>
          </cell>
          <cell r="G11">
            <v>30</v>
          </cell>
          <cell r="H11" t="str">
            <v>(29h)</v>
          </cell>
        </row>
        <row r="12">
          <cell r="A12">
            <v>5</v>
          </cell>
          <cell r="B12" t="str">
            <v>Cases denied, dismissed or withdrawn….</v>
          </cell>
          <cell r="C12">
            <v>1241</v>
          </cell>
          <cell r="E12">
            <v>1168</v>
          </cell>
          <cell r="G12">
            <v>1600</v>
          </cell>
        </row>
        <row r="13">
          <cell r="A13">
            <v>6</v>
          </cell>
          <cell r="B13" t="str">
            <v>Cases summarily decided………………...</v>
          </cell>
          <cell r="C13">
            <v>41</v>
          </cell>
          <cell r="E13">
            <v>41</v>
          </cell>
          <cell r="G13">
            <v>54</v>
          </cell>
        </row>
        <row r="14">
          <cell r="A14">
            <v>7</v>
          </cell>
          <cell r="B14" t="str">
            <v>Cases granted review this term…………..</v>
          </cell>
          <cell r="C14">
            <v>66</v>
          </cell>
          <cell r="D14" t="str">
            <v>(62h)</v>
          </cell>
          <cell r="E14">
            <v>59</v>
          </cell>
          <cell r="F14" t="str">
            <v>(54h)</v>
          </cell>
          <cell r="G14">
            <v>70</v>
          </cell>
          <cell r="H14" t="str">
            <v>(58h)</v>
          </cell>
        </row>
        <row r="15">
          <cell r="A15">
            <v>8</v>
          </cell>
          <cell r="B15" t="str">
            <v>Cases acted upon………………………….</v>
          </cell>
          <cell r="C15">
            <v>1369</v>
          </cell>
          <cell r="E15">
            <v>1295</v>
          </cell>
          <cell r="G15">
            <v>1749</v>
          </cell>
        </row>
        <row r="16">
          <cell r="A16">
            <v>9</v>
          </cell>
          <cell r="B16" t="str">
            <v>Cases not acted upon……………………</v>
          </cell>
          <cell r="C16">
            <v>261</v>
          </cell>
          <cell r="E16">
            <v>234</v>
          </cell>
          <cell r="G16">
            <v>247</v>
          </cell>
        </row>
        <row r="18">
          <cell r="A18" t="str">
            <v>IN FORMA PAUPERIS CASES</v>
          </cell>
        </row>
        <row r="19">
          <cell r="A19">
            <v>10</v>
          </cell>
          <cell r="B19" t="str">
            <v>Cases from prior term………………………</v>
          </cell>
          <cell r="C19">
            <v>437</v>
          </cell>
          <cell r="E19">
            <v>442</v>
          </cell>
          <cell r="G19">
            <v>508</v>
          </cell>
        </row>
        <row r="20">
          <cell r="A20">
            <v>11</v>
          </cell>
          <cell r="B20" t="str">
            <v>Cases docketed during term……………….</v>
          </cell>
          <cell r="C20">
            <v>2847</v>
          </cell>
          <cell r="E20">
            <v>2907</v>
          </cell>
          <cell r="G20">
            <v>3288</v>
          </cell>
        </row>
        <row r="21">
          <cell r="A21">
            <v>12</v>
          </cell>
          <cell r="B21" t="str">
            <v>Cases on docket…………………………….</v>
          </cell>
          <cell r="C21">
            <v>3284</v>
          </cell>
          <cell r="E21">
            <v>3349</v>
          </cell>
          <cell r="G21">
            <v>3796</v>
          </cell>
        </row>
        <row r="22">
          <cell r="A22">
            <v>13</v>
          </cell>
          <cell r="B22" t="str">
            <v>Cases granted review and carried over…..</v>
          </cell>
          <cell r="C22">
            <v>2</v>
          </cell>
          <cell r="D22" t="str">
            <v>(1h)</v>
          </cell>
          <cell r="E22">
            <v>0</v>
          </cell>
          <cell r="F22" t="str">
            <v>(0h)</v>
          </cell>
          <cell r="G22">
            <v>1</v>
          </cell>
          <cell r="H22" t="str">
            <v>(1h)</v>
          </cell>
        </row>
        <row r="23">
          <cell r="A23">
            <v>14</v>
          </cell>
          <cell r="B23" t="str">
            <v>Cases denied, dismissed or withdrawn…..</v>
          </cell>
          <cell r="C23">
            <v>2811</v>
          </cell>
          <cell r="E23">
            <v>2894</v>
          </cell>
          <cell r="G23">
            <v>3305</v>
          </cell>
        </row>
        <row r="24">
          <cell r="A24">
            <v>15</v>
          </cell>
          <cell r="B24" t="str">
            <v>Cases summarily decided………………….</v>
          </cell>
          <cell r="C24">
            <v>16</v>
          </cell>
          <cell r="E24">
            <v>16</v>
          </cell>
          <cell r="G24">
            <v>43</v>
          </cell>
        </row>
        <row r="25">
          <cell r="A25">
            <v>16</v>
          </cell>
          <cell r="B25" t="str">
            <v>Cases granted review this term……………</v>
          </cell>
          <cell r="C25">
            <v>3</v>
          </cell>
          <cell r="D25" t="str">
            <v>(3h)</v>
          </cell>
          <cell r="E25">
            <v>2</v>
          </cell>
          <cell r="F25" t="str">
            <v>(1h)</v>
          </cell>
          <cell r="G25">
            <v>4</v>
          </cell>
          <cell r="H25" t="str">
            <v>(4h)</v>
          </cell>
        </row>
        <row r="26">
          <cell r="A26">
            <v>17</v>
          </cell>
          <cell r="B26" t="str">
            <v>Cases acted upon…………………………..</v>
          </cell>
          <cell r="C26">
            <v>2832</v>
          </cell>
          <cell r="E26">
            <v>2914</v>
          </cell>
          <cell r="G26">
            <v>3354</v>
          </cell>
        </row>
        <row r="27">
          <cell r="A27">
            <v>18</v>
          </cell>
          <cell r="B27" t="str">
            <v>Cases not acted upon………………………</v>
          </cell>
          <cell r="C27">
            <v>452</v>
          </cell>
          <cell r="E27">
            <v>435</v>
          </cell>
          <cell r="G27">
            <v>442</v>
          </cell>
        </row>
        <row r="29">
          <cell r="A29" t="str">
            <v>Original Cases</v>
          </cell>
        </row>
        <row r="30">
          <cell r="A30">
            <v>19</v>
          </cell>
          <cell r="B30" t="str">
            <v>Cases from prior term………………………</v>
          </cell>
          <cell r="C30">
            <v>2</v>
          </cell>
          <cell r="E30">
            <v>4</v>
          </cell>
          <cell r="G30">
            <v>4</v>
          </cell>
        </row>
        <row r="31">
          <cell r="A31">
            <v>20</v>
          </cell>
          <cell r="B31" t="str">
            <v>Cases docketed during term……………….</v>
          </cell>
          <cell r="C31">
            <v>1</v>
          </cell>
          <cell r="E31">
            <v>0</v>
          </cell>
          <cell r="G31">
            <v>1</v>
          </cell>
        </row>
        <row r="32">
          <cell r="A32">
            <v>21</v>
          </cell>
          <cell r="B32" t="str">
            <v>Cases on docket…………………………….</v>
          </cell>
          <cell r="C32">
            <v>3</v>
          </cell>
          <cell r="E32">
            <v>4</v>
          </cell>
          <cell r="G32">
            <v>5</v>
          </cell>
        </row>
        <row r="33">
          <cell r="A33">
            <v>22</v>
          </cell>
          <cell r="B33" t="str">
            <v>Cases disposed of during term…………….</v>
          </cell>
          <cell r="C33">
            <v>2</v>
          </cell>
          <cell r="E33">
            <v>3</v>
          </cell>
          <cell r="G33">
            <v>1</v>
          </cell>
        </row>
        <row r="34">
          <cell r="A34">
            <v>23</v>
          </cell>
          <cell r="B34" t="str">
            <v>Cases remaining…………………………….</v>
          </cell>
          <cell r="C34">
            <v>1</v>
          </cell>
          <cell r="E34">
            <v>1</v>
          </cell>
          <cell r="G34">
            <v>4</v>
          </cell>
        </row>
        <row r="35">
          <cell r="A35">
            <v>24</v>
          </cell>
          <cell r="B35" t="str">
            <v>Total cases on docket………………………</v>
          </cell>
          <cell r="C35">
            <v>4917</v>
          </cell>
          <cell r="E35">
            <v>4882</v>
          </cell>
          <cell r="G35">
            <v>5797</v>
          </cell>
        </row>
        <row r="37">
          <cell r="A37" t="str">
            <v>ARGUMENT CALENDAR</v>
          </cell>
        </row>
        <row r="38">
          <cell r="A38">
            <v>25</v>
          </cell>
          <cell r="B38" t="str">
            <v>Cases available at beginning of term……..</v>
          </cell>
          <cell r="C38">
            <v>23</v>
          </cell>
          <cell r="D38" t="str">
            <v>(21h)</v>
          </cell>
          <cell r="E38">
            <v>33</v>
          </cell>
          <cell r="F38" t="str">
            <v>(28h)</v>
          </cell>
          <cell r="G38">
            <v>31</v>
          </cell>
          <cell r="H38" t="str">
            <v>(30h)</v>
          </cell>
        </row>
        <row r="39">
          <cell r="A39">
            <v>26</v>
          </cell>
          <cell r="B39" t="str">
            <v>Cases made available during term……...…</v>
          </cell>
          <cell r="C39">
            <v>69</v>
          </cell>
          <cell r="D39" t="str">
            <v>(65h)</v>
          </cell>
          <cell r="E39">
            <v>61</v>
          </cell>
          <cell r="F39" t="str">
            <v>(55h)</v>
          </cell>
          <cell r="G39">
            <v>74</v>
          </cell>
          <cell r="H39" t="str">
            <v>(62h)</v>
          </cell>
        </row>
        <row r="40">
          <cell r="A40">
            <v>27</v>
          </cell>
          <cell r="B40" t="str">
            <v>Cases reset for argument…………………..</v>
          </cell>
          <cell r="C40">
            <v>0</v>
          </cell>
          <cell r="E40">
            <v>0</v>
          </cell>
          <cell r="G40">
            <v>0</v>
          </cell>
        </row>
        <row r="41">
          <cell r="A41">
            <v>28</v>
          </cell>
          <cell r="B41" t="str">
            <v>Original cases set for argument……………</v>
          </cell>
          <cell r="C41">
            <v>1</v>
          </cell>
          <cell r="D41" t="str">
            <v>(1h)</v>
          </cell>
          <cell r="E41">
            <v>1</v>
          </cell>
          <cell r="F41" t="str">
            <v>(1h)</v>
          </cell>
          <cell r="G41">
            <v>2</v>
          </cell>
          <cell r="H41" t="str">
            <v>(1h)</v>
          </cell>
        </row>
        <row r="42">
          <cell r="A42">
            <v>29</v>
          </cell>
          <cell r="B42" t="str">
            <v>Total cases available for argument………..</v>
          </cell>
          <cell r="C42">
            <v>97</v>
          </cell>
          <cell r="D42" t="str">
            <v>(88h)</v>
          </cell>
          <cell r="E42">
            <v>95</v>
          </cell>
          <cell r="F42" t="str">
            <v>(84h)</v>
          </cell>
          <cell r="G42">
            <v>107</v>
          </cell>
          <cell r="H42" t="str">
            <v>(93h)</v>
          </cell>
        </row>
        <row r="43">
          <cell r="A43">
            <v>30</v>
          </cell>
          <cell r="B43" t="str">
            <v>Cases argued……………………………….</v>
          </cell>
          <cell r="C43">
            <v>69</v>
          </cell>
          <cell r="D43" t="str">
            <v>(61h)</v>
          </cell>
          <cell r="E43">
            <v>68</v>
          </cell>
          <cell r="F43" t="str">
            <v>(59h)</v>
          </cell>
          <cell r="G43">
            <v>70</v>
          </cell>
          <cell r="H43" t="str">
            <v>(63h)</v>
          </cell>
        </row>
        <row r="44">
          <cell r="A44">
            <v>31</v>
          </cell>
          <cell r="B44" t="str">
            <v>Dismissed or remanded without argument…</v>
          </cell>
          <cell r="C44">
            <v>0</v>
          </cell>
          <cell r="E44">
            <v>4</v>
          </cell>
          <cell r="F44" t="str">
            <v>(4h)</v>
          </cell>
          <cell r="G44">
            <v>4</v>
          </cell>
          <cell r="H44" t="str">
            <v>(3h)</v>
          </cell>
        </row>
        <row r="45">
          <cell r="A45">
            <v>32</v>
          </cell>
          <cell r="B45" t="str">
            <v>Total cases disposed of……………………..</v>
          </cell>
          <cell r="C45">
            <v>69</v>
          </cell>
          <cell r="D45" t="str">
            <v>(61h)</v>
          </cell>
          <cell r="E45">
            <v>72</v>
          </cell>
          <cell r="F45" t="str">
            <v>(63h)</v>
          </cell>
          <cell r="G45">
            <v>74</v>
          </cell>
          <cell r="H45" t="str">
            <v>(66h)</v>
          </cell>
        </row>
        <row r="46">
          <cell r="A46">
            <v>33</v>
          </cell>
          <cell r="B46" t="str">
            <v>Total cases available………………………..</v>
          </cell>
          <cell r="C46">
            <v>28</v>
          </cell>
          <cell r="D46" t="str">
            <v>(27h)</v>
          </cell>
          <cell r="E46">
            <v>23</v>
          </cell>
          <cell r="F46" t="str">
            <v>(21h)</v>
          </cell>
          <cell r="G46">
            <v>33</v>
          </cell>
          <cell r="H46" t="str">
            <v>(27h)</v>
          </cell>
        </row>
        <row r="47">
          <cell r="A47">
            <v>34</v>
          </cell>
          <cell r="B47" t="str">
            <v>Cases granted this Term</v>
          </cell>
          <cell r="G47">
            <v>32</v>
          </cell>
          <cell r="H47" t="str">
            <v>(26h)</v>
          </cell>
        </row>
        <row r="48">
          <cell r="B48" t="str">
            <v>to be argued next Term………………………</v>
          </cell>
          <cell r="C48">
            <v>28</v>
          </cell>
          <cell r="D48" t="str">
            <v>(27h)</v>
          </cell>
          <cell r="E48">
            <v>23</v>
          </cell>
          <cell r="F48" t="str">
            <v>(21h)*</v>
          </cell>
        </row>
        <row r="50">
          <cell r="A50" t="str">
            <v>DECISION CALENDAR</v>
          </cell>
        </row>
        <row r="51">
          <cell r="A51">
            <v>35</v>
          </cell>
          <cell r="B51" t="str">
            <v>Cases argued and submitted……………….</v>
          </cell>
          <cell r="C51">
            <v>69</v>
          </cell>
          <cell r="E51">
            <v>68</v>
          </cell>
          <cell r="G51">
            <v>70</v>
          </cell>
        </row>
        <row r="52">
          <cell r="A52">
            <v>36</v>
          </cell>
          <cell r="B52" t="str">
            <v>Disposed of by signed opinion……………..</v>
          </cell>
          <cell r="C52">
            <v>64</v>
          </cell>
          <cell r="E52">
            <v>66</v>
          </cell>
          <cell r="G52">
            <v>63</v>
          </cell>
        </row>
        <row r="53">
          <cell r="A53">
            <v>37</v>
          </cell>
          <cell r="B53" t="str">
            <v>Disposed of by per curiam opinion…………</v>
          </cell>
          <cell r="C53">
            <v>5</v>
          </cell>
          <cell r="E53">
            <v>2</v>
          </cell>
          <cell r="G53">
            <v>7</v>
          </cell>
        </row>
        <row r="54">
          <cell r="A54">
            <v>38</v>
          </cell>
          <cell r="B54" t="str">
            <v>Set for reargument……………………………</v>
          </cell>
          <cell r="C54">
            <v>0</v>
          </cell>
          <cell r="E54">
            <v>0</v>
          </cell>
          <cell r="G54">
            <v>0</v>
          </cell>
        </row>
        <row r="55">
          <cell r="A55">
            <v>39</v>
          </cell>
          <cell r="B55" t="str">
            <v>Total cases decided…………………………</v>
          </cell>
          <cell r="C55">
            <v>69</v>
          </cell>
          <cell r="E55">
            <v>68</v>
          </cell>
          <cell r="G55">
            <v>70</v>
          </cell>
        </row>
        <row r="56">
          <cell r="A56">
            <v>40</v>
          </cell>
          <cell r="B56" t="str">
            <v>Cases awaiting decision…………………….</v>
          </cell>
          <cell r="C56">
            <v>0</v>
          </cell>
          <cell r="E56">
            <v>0</v>
          </cell>
          <cell r="G56">
            <v>0</v>
          </cell>
        </row>
        <row r="57">
          <cell r="A57">
            <v>41</v>
          </cell>
          <cell r="B57" t="str">
            <v>Number of signed opinions………………….</v>
          </cell>
          <cell r="C57">
            <v>55</v>
          </cell>
          <cell r="E57">
            <v>55</v>
          </cell>
          <cell r="G57">
            <v>58</v>
          </cell>
        </row>
        <row r="58">
          <cell r="A58">
            <v>42</v>
          </cell>
          <cell r="B58" t="str">
            <v>Number of opinions to be filed………………</v>
          </cell>
          <cell r="C58">
            <v>0</v>
          </cell>
          <cell r="E58">
            <v>0</v>
          </cell>
          <cell r="G58">
            <v>0</v>
          </cell>
        </row>
        <row r="60">
          <cell r="A60">
            <v>43</v>
          </cell>
          <cell r="B60" t="str">
            <v>Admissions to the bar…………………….</v>
          </cell>
          <cell r="C60">
            <v>3111</v>
          </cell>
          <cell r="E60">
            <v>3029</v>
          </cell>
          <cell r="G60">
            <v>1510</v>
          </cell>
        </row>
        <row r="61">
          <cell r="B61" t="str">
            <v>On written motions…………………………</v>
          </cell>
          <cell r="C61">
            <v>1442</v>
          </cell>
          <cell r="E61">
            <v>1578</v>
          </cell>
          <cell r="G61">
            <v>1510</v>
          </cell>
        </row>
        <row r="62">
          <cell r="B62" t="str">
            <v>In court………………………………………</v>
          </cell>
          <cell r="C62">
            <v>1669</v>
          </cell>
          <cell r="E62">
            <v>1451</v>
          </cell>
          <cell r="G62">
            <v>0</v>
          </cell>
        </row>
        <row r="64">
          <cell r="B64" t="str">
            <v xml:space="preserve">                   FOR INTERNAL COURT USE ONLY</v>
          </cell>
        </row>
      </sheetData>
      <sheetData sheetId="4">
        <row r="1">
          <cell r="A1" t="str">
            <v xml:space="preserve">                                                       October Term, 2024</v>
          </cell>
        </row>
        <row r="2">
          <cell r="A2" t="str">
            <v xml:space="preserve">                                                      Statistical Sheet No. 1</v>
          </cell>
        </row>
        <row r="3">
          <cell r="A3" t="str">
            <v xml:space="preserve">                                                         October 10, 2024</v>
          </cell>
        </row>
        <row r="5">
          <cell r="E5" t="str">
            <v>TERM</v>
          </cell>
        </row>
        <row r="6">
          <cell r="C6" t="str">
            <v>CURRENT</v>
          </cell>
          <cell r="E6" t="str">
            <v>LAST</v>
          </cell>
          <cell r="G6" t="str">
            <v>O.T. '22</v>
          </cell>
        </row>
        <row r="7">
          <cell r="A7" t="str">
            <v>PAID CASES</v>
          </cell>
        </row>
        <row r="8">
          <cell r="A8">
            <v>1</v>
          </cell>
          <cell r="B8" t="str">
            <v>Cases from prior term………………………</v>
          </cell>
          <cell r="C8">
            <v>288</v>
          </cell>
          <cell r="E8">
            <v>255</v>
          </cell>
          <cell r="G8">
            <v>280</v>
          </cell>
        </row>
        <row r="9">
          <cell r="A9">
            <v>2</v>
          </cell>
          <cell r="B9" t="str">
            <v>Cases docketed during term……………….</v>
          </cell>
          <cell r="C9">
            <v>391</v>
          </cell>
          <cell r="E9">
            <v>361</v>
          </cell>
          <cell r="G9">
            <v>316</v>
          </cell>
        </row>
        <row r="10">
          <cell r="A10">
            <v>3</v>
          </cell>
          <cell r="B10" t="str">
            <v>Cases on docket…………………………….</v>
          </cell>
          <cell r="C10">
            <v>679</v>
          </cell>
          <cell r="E10">
            <v>616</v>
          </cell>
          <cell r="G10">
            <v>596</v>
          </cell>
        </row>
        <row r="11">
          <cell r="A11">
            <v>4</v>
          </cell>
          <cell r="B11" t="str">
            <v>Cases granted review and carried over…..</v>
          </cell>
          <cell r="C11">
            <v>27</v>
          </cell>
          <cell r="D11" t="str">
            <v>(26h)</v>
          </cell>
          <cell r="E11">
            <v>21</v>
          </cell>
          <cell r="F11" t="str">
            <v>(20h)</v>
          </cell>
          <cell r="G11">
            <v>33</v>
          </cell>
          <cell r="H11" t="str">
            <v>(28h)</v>
          </cell>
        </row>
        <row r="12">
          <cell r="A12">
            <v>5</v>
          </cell>
          <cell r="B12" t="str">
            <v>Cases denied, dismissed or withdrawn…..</v>
          </cell>
          <cell r="C12">
            <v>293</v>
          </cell>
          <cell r="E12">
            <v>227</v>
          </cell>
          <cell r="G12">
            <v>240</v>
          </cell>
        </row>
        <row r="13">
          <cell r="A13">
            <v>6</v>
          </cell>
          <cell r="B13" t="str">
            <v>Cases summarily decided………………….</v>
          </cell>
          <cell r="C13">
            <v>1</v>
          </cell>
          <cell r="E13">
            <v>1</v>
          </cell>
          <cell r="G13">
            <v>6</v>
          </cell>
        </row>
        <row r="14">
          <cell r="A14">
            <v>7</v>
          </cell>
          <cell r="B14" t="str">
            <v>Cases granted review this term…………….</v>
          </cell>
          <cell r="C14">
            <v>14</v>
          </cell>
          <cell r="D14" t="str">
            <v>(12h)</v>
          </cell>
          <cell r="E14">
            <v>12</v>
          </cell>
          <cell r="F14" t="str">
            <v>(12h)</v>
          </cell>
          <cell r="G14">
            <v>10</v>
          </cell>
          <cell r="H14" t="str">
            <v>(10h)</v>
          </cell>
        </row>
        <row r="15">
          <cell r="A15">
            <v>8</v>
          </cell>
          <cell r="B15" t="str">
            <v>Cases acted upon…………………………..</v>
          </cell>
          <cell r="C15">
            <v>335</v>
          </cell>
          <cell r="E15">
            <v>261</v>
          </cell>
          <cell r="G15">
            <v>289</v>
          </cell>
        </row>
        <row r="16">
          <cell r="A16">
            <v>9</v>
          </cell>
          <cell r="B16" t="str">
            <v>Cases not acted upon………………………</v>
          </cell>
          <cell r="C16">
            <v>344</v>
          </cell>
          <cell r="E16">
            <v>355</v>
          </cell>
          <cell r="G16">
            <v>307</v>
          </cell>
        </row>
        <row r="18">
          <cell r="A18" t="str">
            <v>IN FORMA PAUPERIS CASES</v>
          </cell>
        </row>
        <row r="19">
          <cell r="A19">
            <v>10</v>
          </cell>
          <cell r="B19" t="str">
            <v>Cases from prior term………………………</v>
          </cell>
          <cell r="C19">
            <v>453</v>
          </cell>
          <cell r="E19">
            <v>437</v>
          </cell>
          <cell r="G19">
            <v>442</v>
          </cell>
        </row>
        <row r="20">
          <cell r="A20">
            <v>11</v>
          </cell>
          <cell r="B20" t="str">
            <v>Cases docketed during term……………….</v>
          </cell>
          <cell r="C20">
            <v>732</v>
          </cell>
          <cell r="E20">
            <v>717</v>
          </cell>
          <cell r="G20">
            <v>769</v>
          </cell>
        </row>
        <row r="21">
          <cell r="A21">
            <v>12</v>
          </cell>
          <cell r="B21" t="str">
            <v>Cases on docket…………………………….</v>
          </cell>
          <cell r="C21">
            <v>1185</v>
          </cell>
          <cell r="E21">
            <v>1154</v>
          </cell>
          <cell r="G21">
            <v>1211</v>
          </cell>
        </row>
        <row r="22">
          <cell r="A22">
            <v>13</v>
          </cell>
          <cell r="B22" t="str">
            <v>Cases granted review and carried over…..</v>
          </cell>
          <cell r="C22">
            <v>1</v>
          </cell>
          <cell r="D22" t="str">
            <v>(1h)</v>
          </cell>
          <cell r="E22">
            <v>2</v>
          </cell>
          <cell r="F22" t="str">
            <v>(1h)</v>
          </cell>
          <cell r="G22">
            <v>0</v>
          </cell>
          <cell r="H22" t="str">
            <v>(0h)</v>
          </cell>
        </row>
        <row r="23">
          <cell r="A23">
            <v>14</v>
          </cell>
          <cell r="B23" t="str">
            <v>Cases denied, dismissed or withdrawn…..</v>
          </cell>
          <cell r="C23">
            <v>711</v>
          </cell>
          <cell r="E23">
            <v>672</v>
          </cell>
          <cell r="G23">
            <v>692</v>
          </cell>
        </row>
        <row r="24">
          <cell r="A24">
            <v>15</v>
          </cell>
          <cell r="B24" t="str">
            <v>Cases summarily decided………………….</v>
          </cell>
          <cell r="C24">
            <v>8</v>
          </cell>
          <cell r="E24">
            <v>1</v>
          </cell>
          <cell r="G24">
            <v>6</v>
          </cell>
        </row>
        <row r="25">
          <cell r="A25">
            <v>16</v>
          </cell>
          <cell r="B25" t="str">
            <v>Cases granted review this term……………</v>
          </cell>
          <cell r="C25">
            <v>1</v>
          </cell>
          <cell r="D25" t="str">
            <v>(1h)</v>
          </cell>
          <cell r="E25">
            <v>1</v>
          </cell>
          <cell r="F25" t="str">
            <v>(1h)</v>
          </cell>
          <cell r="G25">
            <v>0</v>
          </cell>
          <cell r="H25" t="str">
            <v>(0h)</v>
          </cell>
        </row>
        <row r="26">
          <cell r="A26">
            <v>17</v>
          </cell>
          <cell r="B26" t="str">
            <v>Cases acted upon…………………………..</v>
          </cell>
          <cell r="C26">
            <v>721</v>
          </cell>
          <cell r="E26">
            <v>676</v>
          </cell>
          <cell r="G26">
            <v>698</v>
          </cell>
        </row>
        <row r="27">
          <cell r="A27">
            <v>18</v>
          </cell>
          <cell r="B27" t="str">
            <v>Cases not acted upon………………………</v>
          </cell>
          <cell r="C27">
            <v>464</v>
          </cell>
          <cell r="E27">
            <v>478</v>
          </cell>
          <cell r="G27">
            <v>513</v>
          </cell>
        </row>
        <row r="29">
          <cell r="A29" t="str">
            <v>ORIGINAL CASES</v>
          </cell>
        </row>
        <row r="30">
          <cell r="A30">
            <v>19</v>
          </cell>
          <cell r="B30" t="str">
            <v>Cases from prior term………………………</v>
          </cell>
          <cell r="C30">
            <v>1</v>
          </cell>
          <cell r="E30">
            <v>2</v>
          </cell>
          <cell r="G30">
            <v>4</v>
          </cell>
        </row>
        <row r="31">
          <cell r="A31">
            <v>20</v>
          </cell>
          <cell r="B31" t="str">
            <v>Cases docketed during term……………….</v>
          </cell>
          <cell r="C31">
            <v>2</v>
          </cell>
          <cell r="E31">
            <v>0</v>
          </cell>
          <cell r="G31">
            <v>0</v>
          </cell>
        </row>
        <row r="32">
          <cell r="A32">
            <v>21</v>
          </cell>
          <cell r="B32" t="str">
            <v>Cases on docket…………………………….</v>
          </cell>
          <cell r="C32">
            <v>3</v>
          </cell>
          <cell r="E32">
            <v>2</v>
          </cell>
          <cell r="G32">
            <v>4</v>
          </cell>
        </row>
        <row r="33">
          <cell r="A33">
            <v>22</v>
          </cell>
          <cell r="B33" t="str">
            <v>Cases disposed of during term…………….</v>
          </cell>
          <cell r="C33">
            <v>1</v>
          </cell>
          <cell r="E33">
            <v>0</v>
          </cell>
          <cell r="G33">
            <v>0</v>
          </cell>
        </row>
        <row r="34">
          <cell r="A34">
            <v>23</v>
          </cell>
          <cell r="B34" t="str">
            <v>Cases remaining…………………………….</v>
          </cell>
          <cell r="C34">
            <v>2</v>
          </cell>
          <cell r="E34">
            <v>2</v>
          </cell>
          <cell r="G34">
            <v>4</v>
          </cell>
        </row>
        <row r="35">
          <cell r="A35">
            <v>24</v>
          </cell>
          <cell r="B35" t="str">
            <v>Total cases on docket………………………</v>
          </cell>
          <cell r="C35">
            <v>1867</v>
          </cell>
          <cell r="E35">
            <v>1772</v>
          </cell>
          <cell r="G35">
            <v>1811</v>
          </cell>
        </row>
        <row r="37">
          <cell r="A37" t="str">
            <v>ARGUMENT CALENDAR</v>
          </cell>
        </row>
        <row r="38">
          <cell r="A38">
            <v>25</v>
          </cell>
          <cell r="B38" t="str">
            <v>Cases available at beginning of term……..</v>
          </cell>
          <cell r="C38">
            <v>28</v>
          </cell>
          <cell r="D38" t="str">
            <v>(27h)</v>
          </cell>
          <cell r="E38">
            <v>23</v>
          </cell>
          <cell r="F38" t="str">
            <v>(21h)</v>
          </cell>
          <cell r="G38">
            <v>33</v>
          </cell>
          <cell r="H38" t="str">
            <v>(28h)</v>
          </cell>
        </row>
        <row r="39">
          <cell r="A39">
            <v>26</v>
          </cell>
          <cell r="B39" t="str">
            <v>Cases made available during term……...…</v>
          </cell>
          <cell r="C39">
            <v>15</v>
          </cell>
          <cell r="D39" t="str">
            <v>(13h)</v>
          </cell>
          <cell r="E39">
            <v>13</v>
          </cell>
          <cell r="F39" t="str">
            <v>(13h)</v>
          </cell>
          <cell r="G39">
            <v>10</v>
          </cell>
          <cell r="H39" t="str">
            <v>(10h)</v>
          </cell>
        </row>
        <row r="40">
          <cell r="A40">
            <v>27</v>
          </cell>
          <cell r="B40" t="str">
            <v>Cases reset for argument…………………..</v>
          </cell>
          <cell r="C40">
            <v>0</v>
          </cell>
          <cell r="E40">
            <v>0</v>
          </cell>
          <cell r="G40">
            <v>0</v>
          </cell>
        </row>
        <row r="41">
          <cell r="A41">
            <v>28</v>
          </cell>
          <cell r="B41" t="str">
            <v>Original cases set for argument……………</v>
          </cell>
          <cell r="C41">
            <v>0</v>
          </cell>
          <cell r="E41">
            <v>0</v>
          </cell>
          <cell r="G41">
            <v>0</v>
          </cell>
        </row>
        <row r="42">
          <cell r="A42">
            <v>29</v>
          </cell>
          <cell r="B42" t="str">
            <v>Total cases available for argument………..</v>
          </cell>
          <cell r="C42">
            <v>43</v>
          </cell>
          <cell r="D42" t="str">
            <v>(40h)</v>
          </cell>
          <cell r="E42">
            <v>36</v>
          </cell>
          <cell r="F42" t="str">
            <v>(34h)</v>
          </cell>
          <cell r="G42">
            <v>43</v>
          </cell>
          <cell r="H42" t="str">
            <v>(38h)</v>
          </cell>
        </row>
        <row r="43">
          <cell r="A43">
            <v>30</v>
          </cell>
          <cell r="B43" t="str">
            <v>Cases argued……………………………….</v>
          </cell>
          <cell r="C43">
            <v>5</v>
          </cell>
          <cell r="D43" t="str">
            <v>(5h)</v>
          </cell>
          <cell r="E43">
            <v>3</v>
          </cell>
          <cell r="F43" t="str">
            <v>(3h)</v>
          </cell>
          <cell r="G43">
            <v>6</v>
          </cell>
          <cell r="H43" t="str">
            <v>(4h)</v>
          </cell>
        </row>
        <row r="44">
          <cell r="A44">
            <v>31</v>
          </cell>
          <cell r="B44" t="str">
            <v>Dismissed or remanded without argument…</v>
          </cell>
          <cell r="C44">
            <v>0</v>
          </cell>
          <cell r="E44">
            <v>0</v>
          </cell>
          <cell r="G44">
            <v>0</v>
          </cell>
        </row>
        <row r="45">
          <cell r="A45">
            <v>32</v>
          </cell>
          <cell r="B45" t="str">
            <v>Total cases disposed of……………………..</v>
          </cell>
          <cell r="C45">
            <v>5</v>
          </cell>
          <cell r="D45" t="str">
            <v>(5h)</v>
          </cell>
          <cell r="E45">
            <v>3</v>
          </cell>
          <cell r="F45" t="str">
            <v>(3h)</v>
          </cell>
          <cell r="G45">
            <v>6</v>
          </cell>
          <cell r="H45" t="str">
            <v>(4h)</v>
          </cell>
        </row>
        <row r="46">
          <cell r="A46">
            <v>33</v>
          </cell>
          <cell r="B46" t="str">
            <v>Total cases available………………………..</v>
          </cell>
          <cell r="C46">
            <v>38</v>
          </cell>
          <cell r="D46" t="str">
            <v>(35h)</v>
          </cell>
          <cell r="E46">
            <v>33</v>
          </cell>
          <cell r="F46" t="str">
            <v>(31h)</v>
          </cell>
          <cell r="G46">
            <v>37</v>
          </cell>
          <cell r="H46" t="str">
            <v>(34h)</v>
          </cell>
        </row>
        <row r="47">
          <cell r="A47">
            <v>34</v>
          </cell>
          <cell r="B47" t="str">
            <v>Cases granted this term</v>
          </cell>
        </row>
        <row r="48">
          <cell r="B48" t="str">
            <v>to be argued next term…………………….</v>
          </cell>
          <cell r="C48">
            <v>0</v>
          </cell>
          <cell r="E48">
            <v>0</v>
          </cell>
          <cell r="G48">
            <v>0</v>
          </cell>
        </row>
        <row r="50">
          <cell r="A50" t="str">
            <v>DECISION CALENDAR</v>
          </cell>
        </row>
        <row r="51">
          <cell r="A51">
            <v>35</v>
          </cell>
          <cell r="B51" t="str">
            <v>Cases argued and submitted……………….</v>
          </cell>
          <cell r="C51">
            <v>5</v>
          </cell>
          <cell r="E51">
            <v>3</v>
          </cell>
          <cell r="G51">
            <v>6</v>
          </cell>
        </row>
        <row r="52">
          <cell r="A52">
            <v>36</v>
          </cell>
          <cell r="B52" t="str">
            <v>Disposed of by signed opinion……………..</v>
          </cell>
          <cell r="C52">
            <v>0</v>
          </cell>
          <cell r="E52">
            <v>0</v>
          </cell>
          <cell r="G52">
            <v>0</v>
          </cell>
        </row>
        <row r="53">
          <cell r="A53">
            <v>37</v>
          </cell>
          <cell r="B53" t="str">
            <v>Disposed of by per curiam opinion…………</v>
          </cell>
          <cell r="C53">
            <v>0</v>
          </cell>
          <cell r="E53">
            <v>0</v>
          </cell>
          <cell r="G53">
            <v>0</v>
          </cell>
        </row>
        <row r="54">
          <cell r="A54">
            <v>38</v>
          </cell>
          <cell r="B54" t="str">
            <v>Set for reargument……………………………</v>
          </cell>
          <cell r="C54">
            <v>0</v>
          </cell>
          <cell r="E54">
            <v>0</v>
          </cell>
          <cell r="G54">
            <v>0</v>
          </cell>
        </row>
        <row r="55">
          <cell r="A55">
            <v>39</v>
          </cell>
          <cell r="B55" t="str">
            <v>Total cases decided…………………………</v>
          </cell>
          <cell r="C55">
            <v>0</v>
          </cell>
          <cell r="E55">
            <v>0</v>
          </cell>
          <cell r="G55">
            <v>0</v>
          </cell>
        </row>
        <row r="56">
          <cell r="A56">
            <v>40</v>
          </cell>
          <cell r="B56" t="str">
            <v>Cases awaiting decision…………………….</v>
          </cell>
          <cell r="C56">
            <v>5</v>
          </cell>
          <cell r="E56">
            <v>3</v>
          </cell>
          <cell r="G56">
            <v>6</v>
          </cell>
        </row>
        <row r="57">
          <cell r="A57">
            <v>41</v>
          </cell>
          <cell r="B57" t="str">
            <v>Number of signed opinions………………….</v>
          </cell>
          <cell r="C57">
            <v>0</v>
          </cell>
          <cell r="E57">
            <v>0</v>
          </cell>
          <cell r="G57">
            <v>0</v>
          </cell>
        </row>
        <row r="58">
          <cell r="A58">
            <v>42</v>
          </cell>
          <cell r="B58" t="str">
            <v>Number of opinions to be filed………………</v>
          </cell>
          <cell r="C58">
            <v>5</v>
          </cell>
          <cell r="E58">
            <v>3</v>
          </cell>
          <cell r="G58">
            <v>4</v>
          </cell>
        </row>
        <row r="60">
          <cell r="A60">
            <v>43</v>
          </cell>
          <cell r="B60" t="str">
            <v>Admissions to the bar………………………..</v>
          </cell>
          <cell r="C60">
            <v>468</v>
          </cell>
          <cell r="E60">
            <v>408</v>
          </cell>
          <cell r="G60">
            <v>482</v>
          </cell>
        </row>
        <row r="61">
          <cell r="B61" t="str">
            <v>On written motions……………………………</v>
          </cell>
          <cell r="C61">
            <v>396</v>
          </cell>
          <cell r="E61">
            <v>334</v>
          </cell>
          <cell r="G61">
            <v>433</v>
          </cell>
        </row>
        <row r="62">
          <cell r="B62" t="str">
            <v>In court…………………………………………</v>
          </cell>
          <cell r="C62">
            <v>72</v>
          </cell>
          <cell r="E62">
            <v>74</v>
          </cell>
          <cell r="G62">
            <v>49</v>
          </cell>
        </row>
        <row r="64">
          <cell r="B64" t="str">
            <v xml:space="preserve">                                FOR INTERNAL COURT USE ONLY</v>
          </cell>
        </row>
      </sheetData>
      <sheetData sheetId="5">
        <row r="16">
          <cell r="E16">
            <v>6534</v>
          </cell>
          <cell r="K16">
            <v>10</v>
          </cell>
          <cell r="Q16">
            <v>1818</v>
          </cell>
          <cell r="W16">
            <v>4706</v>
          </cell>
        </row>
        <row r="17">
          <cell r="E17">
            <v>5712</v>
          </cell>
          <cell r="K17">
            <v>2</v>
          </cell>
          <cell r="Q17">
            <v>1509</v>
          </cell>
          <cell r="W17">
            <v>4201</v>
          </cell>
        </row>
        <row r="18">
          <cell r="E18">
            <v>822</v>
          </cell>
          <cell r="K18">
            <v>8</v>
          </cell>
          <cell r="Q18">
            <v>309</v>
          </cell>
          <cell r="W18">
            <v>505</v>
          </cell>
        </row>
        <row r="21">
          <cell r="E21">
            <v>6129</v>
          </cell>
          <cell r="K21">
            <v>10</v>
          </cell>
          <cell r="Q21">
            <v>2137</v>
          </cell>
          <cell r="W21">
            <v>3982</v>
          </cell>
        </row>
        <row r="22">
          <cell r="E22">
            <v>5232</v>
          </cell>
          <cell r="K22">
            <v>6</v>
          </cell>
          <cell r="Q22">
            <v>1752</v>
          </cell>
          <cell r="W22">
            <v>3474</v>
          </cell>
        </row>
        <row r="23">
          <cell r="E23">
            <v>897</v>
          </cell>
          <cell r="K23">
            <v>4</v>
          </cell>
          <cell r="Q23">
            <v>385</v>
          </cell>
          <cell r="W23">
            <v>508</v>
          </cell>
        </row>
        <row r="26">
          <cell r="E26">
            <v>5797</v>
          </cell>
          <cell r="K26">
            <v>5</v>
          </cell>
          <cell r="Q26">
            <v>1996</v>
          </cell>
          <cell r="W26">
            <v>3796</v>
          </cell>
        </row>
        <row r="27">
          <cell r="E27">
            <v>5071</v>
          </cell>
          <cell r="K27">
            <v>1</v>
          </cell>
          <cell r="Q27">
            <v>1716</v>
          </cell>
          <cell r="W27">
            <v>3354</v>
          </cell>
        </row>
        <row r="28">
          <cell r="E28">
            <v>726</v>
          </cell>
          <cell r="K28">
            <v>4</v>
          </cell>
          <cell r="Q28">
            <v>280</v>
          </cell>
          <cell r="W28">
            <v>442</v>
          </cell>
        </row>
        <row r="31">
          <cell r="E31">
            <v>4882</v>
          </cell>
          <cell r="K31">
            <v>4</v>
          </cell>
          <cell r="Q31">
            <v>1529</v>
          </cell>
          <cell r="W31">
            <v>3349</v>
          </cell>
        </row>
        <row r="32">
          <cell r="E32">
            <v>4179</v>
          </cell>
          <cell r="K32">
            <v>3</v>
          </cell>
          <cell r="Q32">
            <v>1274</v>
          </cell>
          <cell r="W32">
            <v>2912</v>
          </cell>
        </row>
        <row r="33">
          <cell r="E33">
            <v>703</v>
          </cell>
          <cell r="K33">
            <v>1</v>
          </cell>
          <cell r="Q33">
            <v>255</v>
          </cell>
          <cell r="W33">
            <v>437</v>
          </cell>
        </row>
        <row r="39">
          <cell r="L39">
            <v>73</v>
          </cell>
          <cell r="P39">
            <v>72</v>
          </cell>
        </row>
        <row r="40">
          <cell r="L40">
            <v>69</v>
          </cell>
          <cell r="P40">
            <v>69</v>
          </cell>
        </row>
        <row r="41">
          <cell r="L41">
            <v>4</v>
          </cell>
          <cell r="P41">
            <v>3</v>
          </cell>
        </row>
        <row r="42">
          <cell r="L42" t="str">
            <v>-</v>
          </cell>
          <cell r="P42" t="str">
            <v>-</v>
          </cell>
        </row>
        <row r="43">
          <cell r="L43">
            <v>60</v>
          </cell>
          <cell r="P43">
            <v>72</v>
          </cell>
        </row>
        <row r="44">
          <cell r="L44">
            <v>105</v>
          </cell>
          <cell r="P44">
            <v>91</v>
          </cell>
        </row>
        <row r="45">
          <cell r="L45">
            <v>37</v>
          </cell>
          <cell r="P45">
            <v>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38DE-7144-4418-9D11-34CA10F73694}">
  <dimension ref="A1:Z50"/>
  <sheetViews>
    <sheetView showGridLines="0" tabSelected="1" topLeftCell="A9" zoomScaleNormal="100" workbookViewId="0">
      <selection activeCell="AB35" sqref="AB35"/>
    </sheetView>
  </sheetViews>
  <sheetFormatPr defaultColWidth="9.1796875" defaultRowHeight="10" x14ac:dyDescent="0.2"/>
  <cols>
    <col min="1" max="1" width="2.26953125" style="1" customWidth="1"/>
    <col min="2" max="2" width="22.26953125" style="1" customWidth="1"/>
    <col min="3" max="26" width="3.81640625" style="1" customWidth="1"/>
    <col min="27" max="16384" width="9.1796875" style="1"/>
  </cols>
  <sheetData>
    <row r="1" spans="1:26" ht="13.5" customHeight="1" x14ac:dyDescent="0.2"/>
    <row r="2" spans="1:26" ht="13.5" customHeight="1" x14ac:dyDescent="0.3">
      <c r="A2" s="25" t="s">
        <v>0</v>
      </c>
      <c r="B2" s="25"/>
      <c r="C2" s="25"/>
      <c r="D2" s="25"/>
      <c r="E2" s="25"/>
      <c r="F2" s="25"/>
      <c r="G2" s="25"/>
      <c r="H2" s="25"/>
      <c r="I2" s="25"/>
      <c r="J2" s="25"/>
      <c r="K2" s="25"/>
      <c r="L2" s="25"/>
      <c r="M2" s="25"/>
      <c r="N2" s="25"/>
      <c r="O2" s="25"/>
      <c r="P2" s="25"/>
      <c r="Q2" s="25"/>
      <c r="R2" s="25"/>
      <c r="S2" s="25"/>
      <c r="T2" s="25"/>
      <c r="U2" s="25"/>
      <c r="V2" s="25"/>
      <c r="W2" s="25"/>
      <c r="X2" s="25"/>
      <c r="Y2" s="25"/>
      <c r="Z2" s="25"/>
    </row>
    <row r="3" spans="1:26" ht="13.5" customHeight="1" x14ac:dyDescent="0.3">
      <c r="A3" s="25" t="s">
        <v>1</v>
      </c>
      <c r="B3" s="25"/>
      <c r="C3" s="25"/>
      <c r="D3" s="25"/>
      <c r="E3" s="25"/>
      <c r="F3" s="25"/>
      <c r="G3" s="25"/>
      <c r="H3" s="25"/>
      <c r="I3" s="25"/>
      <c r="J3" s="25"/>
      <c r="K3" s="25"/>
      <c r="L3" s="25"/>
      <c r="M3" s="25"/>
      <c r="N3" s="25"/>
      <c r="O3" s="25"/>
      <c r="P3" s="25"/>
      <c r="Q3" s="25"/>
      <c r="R3" s="25"/>
      <c r="S3" s="25"/>
      <c r="T3" s="25"/>
      <c r="U3" s="25"/>
      <c r="V3" s="25"/>
      <c r="W3" s="25"/>
      <c r="X3" s="25"/>
      <c r="Y3" s="25"/>
      <c r="Z3" s="25"/>
    </row>
    <row r="4" spans="1:26" ht="13.5" customHeight="1" x14ac:dyDescent="0.3">
      <c r="A4" s="25" t="str">
        <f>"at Conclusion of October Terms, "&amp;(RIGHT('[1]Raw Data - Completed Term'!$A$1,4)-4)&amp;" Through "&amp;RIGHT('[1]Raw Data - Completed Term'!$A$1,4)</f>
        <v>at Conclusion of October Terms, 2019 Through 2023</v>
      </c>
      <c r="B4" s="25"/>
      <c r="C4" s="25"/>
      <c r="D4" s="25"/>
      <c r="E4" s="25"/>
      <c r="F4" s="25"/>
      <c r="G4" s="25"/>
      <c r="H4" s="25"/>
      <c r="I4" s="25"/>
      <c r="J4" s="25"/>
      <c r="K4" s="25"/>
      <c r="L4" s="25"/>
      <c r="M4" s="25"/>
      <c r="N4" s="25"/>
      <c r="O4" s="25"/>
      <c r="P4" s="25"/>
      <c r="Q4" s="25"/>
      <c r="R4" s="25"/>
      <c r="S4" s="25"/>
      <c r="T4" s="25"/>
      <c r="U4" s="25"/>
      <c r="V4" s="25"/>
      <c r="W4" s="25"/>
      <c r="X4" s="25"/>
      <c r="Y4" s="25"/>
      <c r="Z4" s="25"/>
    </row>
    <row r="5" spans="1:26" ht="13.5" customHeight="1" x14ac:dyDescent="0.2"/>
    <row r="6" spans="1:26" ht="13.5" customHeight="1" x14ac:dyDescent="0.2">
      <c r="A6" s="26" t="s">
        <v>2</v>
      </c>
      <c r="B6" s="27"/>
      <c r="C6" s="30" t="s">
        <v>3</v>
      </c>
      <c r="D6" s="26"/>
      <c r="E6" s="26"/>
      <c r="F6" s="26"/>
      <c r="G6" s="26"/>
      <c r="H6" s="26"/>
      <c r="I6" s="30" t="s">
        <v>4</v>
      </c>
      <c r="J6" s="26"/>
      <c r="K6" s="26"/>
      <c r="L6" s="26"/>
      <c r="M6" s="26"/>
      <c r="N6" s="26"/>
      <c r="O6" s="30" t="s">
        <v>5</v>
      </c>
      <c r="P6" s="26"/>
      <c r="Q6" s="26"/>
      <c r="R6" s="26"/>
      <c r="S6" s="26"/>
      <c r="T6" s="26"/>
      <c r="U6" s="30" t="s">
        <v>6</v>
      </c>
      <c r="V6" s="26"/>
      <c r="W6" s="26"/>
      <c r="X6" s="26"/>
      <c r="Y6" s="26"/>
      <c r="Z6" s="26"/>
    </row>
    <row r="7" spans="1:26" ht="13.5" customHeight="1" x14ac:dyDescent="0.2">
      <c r="A7" s="28"/>
      <c r="B7" s="29"/>
      <c r="C7" s="31"/>
      <c r="D7" s="28"/>
      <c r="E7" s="28"/>
      <c r="F7" s="28"/>
      <c r="G7" s="28"/>
      <c r="H7" s="28"/>
      <c r="I7" s="31"/>
      <c r="J7" s="28"/>
      <c r="K7" s="28"/>
      <c r="L7" s="28"/>
      <c r="M7" s="28"/>
      <c r="N7" s="28"/>
      <c r="O7" s="31"/>
      <c r="P7" s="28"/>
      <c r="Q7" s="28"/>
      <c r="R7" s="28"/>
      <c r="S7" s="28"/>
      <c r="T7" s="28"/>
      <c r="U7" s="31"/>
      <c r="V7" s="28"/>
      <c r="W7" s="28"/>
      <c r="X7" s="28"/>
      <c r="Y7" s="28"/>
      <c r="Z7" s="28"/>
    </row>
    <row r="8" spans="1:26" ht="3.75" customHeight="1" x14ac:dyDescent="0.2">
      <c r="A8" s="13"/>
      <c r="B8" s="13"/>
      <c r="C8" s="13"/>
      <c r="D8" s="13"/>
      <c r="E8" s="13"/>
      <c r="F8" s="13"/>
      <c r="G8" s="13"/>
      <c r="H8" s="13"/>
      <c r="I8" s="13"/>
      <c r="J8" s="13"/>
      <c r="K8" s="13"/>
      <c r="L8" s="13"/>
      <c r="M8" s="13"/>
      <c r="N8" s="13"/>
      <c r="O8" s="13"/>
      <c r="P8" s="13"/>
      <c r="Q8" s="13"/>
      <c r="R8" s="13"/>
      <c r="S8" s="13"/>
      <c r="T8" s="13"/>
      <c r="U8" s="13"/>
      <c r="V8" s="13"/>
      <c r="W8" s="13"/>
      <c r="X8" s="13"/>
      <c r="Y8" s="13"/>
      <c r="Z8" s="13"/>
    </row>
    <row r="9" spans="1:26" ht="11.25" customHeight="1" x14ac:dyDescent="0.2">
      <c r="A9" s="12"/>
      <c r="B9" s="12"/>
      <c r="C9" s="18"/>
      <c r="D9" s="18"/>
      <c r="E9" s="18"/>
      <c r="F9" s="18"/>
      <c r="G9" s="18"/>
      <c r="H9" s="18"/>
      <c r="I9" s="18"/>
      <c r="J9" s="18"/>
      <c r="K9" s="18"/>
      <c r="L9" s="18"/>
      <c r="M9" s="18"/>
      <c r="N9" s="18"/>
      <c r="O9" s="18"/>
      <c r="P9" s="18"/>
      <c r="Q9" s="18"/>
      <c r="R9" s="18"/>
      <c r="S9" s="18"/>
      <c r="T9" s="18"/>
      <c r="U9" s="18"/>
      <c r="V9" s="18"/>
      <c r="W9" s="18"/>
      <c r="X9" s="18"/>
      <c r="Y9" s="18"/>
      <c r="Z9" s="18"/>
    </row>
    <row r="10" spans="1:26" ht="11.25" customHeight="1" x14ac:dyDescent="0.25">
      <c r="B10" s="2">
        <f>RIGHT('[1]Raw Data - Completed Term'!$A$1,4)-4</f>
        <v>2019</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1.25" customHeight="1" x14ac:dyDescent="0.2">
      <c r="A11" s="9" t="s">
        <v>7</v>
      </c>
      <c r="B11" s="9"/>
      <c r="C11" s="18"/>
      <c r="D11" s="18"/>
      <c r="E11" s="10">
        <f>IF('[1]Raw Data - Prior Year A-1'!E16:F16=0,"-",'[1]Raw Data - Prior Year A-1'!E16:F16)</f>
        <v>6534</v>
      </c>
      <c r="F11" s="10"/>
      <c r="G11" s="18"/>
      <c r="H11" s="18"/>
      <c r="I11" s="18"/>
      <c r="J11" s="18"/>
      <c r="K11" s="10">
        <f>IF('[1]Raw Data - Prior Year A-1'!K16:L16=0,"-",'[1]Raw Data - Prior Year A-1'!K16:L16)</f>
        <v>10</v>
      </c>
      <c r="L11" s="10"/>
      <c r="M11" s="18"/>
      <c r="N11" s="18"/>
      <c r="O11" s="18"/>
      <c r="P11" s="18"/>
      <c r="Q11" s="10">
        <f>IF('[1]Raw Data - Prior Year A-1'!Q16:R16=0,"-",'[1]Raw Data - Prior Year A-1'!Q16:R16)</f>
        <v>1818</v>
      </c>
      <c r="R11" s="10"/>
      <c r="S11" s="18"/>
      <c r="T11" s="18"/>
      <c r="U11" s="18"/>
      <c r="V11" s="18"/>
      <c r="W11" s="10">
        <f>IF('[1]Raw Data - Prior Year A-1'!W16:X16=0,"-",'[1]Raw Data - Prior Year A-1'!W16:X16)</f>
        <v>4706</v>
      </c>
      <c r="X11" s="10"/>
      <c r="Y11" s="18"/>
      <c r="Z11" s="18"/>
    </row>
    <row r="12" spans="1:26" ht="11.25" customHeight="1" x14ac:dyDescent="0.2">
      <c r="A12" s="9" t="s">
        <v>8</v>
      </c>
      <c r="B12" s="9"/>
      <c r="C12" s="18"/>
      <c r="D12" s="18"/>
      <c r="E12" s="10">
        <f>IF('[1]Raw Data - Prior Year A-1'!E17:F17=0,"-",'[1]Raw Data - Prior Year A-1'!E17:F17)</f>
        <v>5712</v>
      </c>
      <c r="F12" s="10"/>
      <c r="G12" s="18"/>
      <c r="H12" s="18"/>
      <c r="I12" s="18"/>
      <c r="J12" s="18"/>
      <c r="K12" s="10">
        <f>IF('[1]Raw Data - Prior Year A-1'!K17:L17=0,"-",'[1]Raw Data - Prior Year A-1'!K17:L17)</f>
        <v>2</v>
      </c>
      <c r="L12" s="10"/>
      <c r="M12" s="18"/>
      <c r="N12" s="18"/>
      <c r="O12" s="18"/>
      <c r="P12" s="18"/>
      <c r="Q12" s="10">
        <f>IF('[1]Raw Data - Prior Year A-1'!Q17:R17=0,"-",'[1]Raw Data - Prior Year A-1'!Q17:R17)</f>
        <v>1509</v>
      </c>
      <c r="R12" s="10"/>
      <c r="S12" s="18"/>
      <c r="T12" s="18"/>
      <c r="U12" s="18"/>
      <c r="V12" s="18"/>
      <c r="W12" s="10">
        <f>IF('[1]Raw Data - Prior Year A-1'!W17:X17=0,"-",'[1]Raw Data - Prior Year A-1'!W17:X17)</f>
        <v>4201</v>
      </c>
      <c r="X12" s="10"/>
      <c r="Y12" s="18"/>
      <c r="Z12" s="18"/>
    </row>
    <row r="13" spans="1:26" ht="11.25" customHeight="1" x14ac:dyDescent="0.2">
      <c r="A13" s="9" t="s">
        <v>9</v>
      </c>
      <c r="B13" s="9"/>
      <c r="C13" s="18"/>
      <c r="D13" s="18"/>
      <c r="E13" s="10">
        <f>IF('[1]Raw Data - Prior Year A-1'!E18:F18=0,"-",'[1]Raw Data - Prior Year A-1'!E18:F18)</f>
        <v>822</v>
      </c>
      <c r="F13" s="10"/>
      <c r="G13" s="18"/>
      <c r="H13" s="18"/>
      <c r="I13" s="18"/>
      <c r="J13" s="18"/>
      <c r="K13" s="10">
        <f>IF('[1]Raw Data - Prior Year A-1'!K18:L18=0,"-",'[1]Raw Data - Prior Year A-1'!K18:L18)</f>
        <v>8</v>
      </c>
      <c r="L13" s="10"/>
      <c r="M13" s="18"/>
      <c r="N13" s="18"/>
      <c r="O13" s="18"/>
      <c r="P13" s="18"/>
      <c r="Q13" s="10">
        <f>IF('[1]Raw Data - Prior Year A-1'!Q18:R18=0,"-",'[1]Raw Data - Prior Year A-1'!Q18:R18)</f>
        <v>309</v>
      </c>
      <c r="R13" s="10"/>
      <c r="S13" s="18"/>
      <c r="T13" s="18"/>
      <c r="U13" s="18"/>
      <c r="V13" s="18"/>
      <c r="W13" s="10">
        <f>IF('[1]Raw Data - Prior Year A-1'!W18:X18=0,"-",'[1]Raw Data - Prior Year A-1'!W18:X18)</f>
        <v>505</v>
      </c>
      <c r="X13" s="10"/>
      <c r="Y13" s="18"/>
      <c r="Z13" s="18"/>
    </row>
    <row r="14" spans="1:26" ht="11.25" customHeight="1" x14ac:dyDescent="0.2">
      <c r="A14" s="24"/>
      <c r="B14" s="24"/>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1.25" customHeight="1" x14ac:dyDescent="0.25">
      <c r="B15" s="2">
        <f>RIGHT('[1]Raw Data - Completed Term'!$A$1,4)-3</f>
        <v>2020</v>
      </c>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1.25" customHeight="1" x14ac:dyDescent="0.2">
      <c r="A16" s="9" t="s">
        <v>7</v>
      </c>
      <c r="B16" s="9"/>
      <c r="C16" s="18"/>
      <c r="D16" s="18"/>
      <c r="E16" s="10">
        <f>IF('[1]Raw Data - Prior Year A-1'!E21:F21=0,"-",'[1]Raw Data - Prior Year A-1'!E21:F21)</f>
        <v>6129</v>
      </c>
      <c r="F16" s="10"/>
      <c r="G16" s="18"/>
      <c r="H16" s="18"/>
      <c r="I16" s="18"/>
      <c r="J16" s="18"/>
      <c r="K16" s="10">
        <f>IF('[1]Raw Data - Prior Year A-1'!K21:L21=0,"-",'[1]Raw Data - Prior Year A-1'!K21:L21)</f>
        <v>10</v>
      </c>
      <c r="L16" s="10"/>
      <c r="M16" s="18"/>
      <c r="N16" s="18"/>
      <c r="O16" s="18"/>
      <c r="P16" s="18"/>
      <c r="Q16" s="10">
        <f>IF('[1]Raw Data - Prior Year A-1'!Q21:R21=0,"-",'[1]Raw Data - Prior Year A-1'!Q21:R21)</f>
        <v>2137</v>
      </c>
      <c r="R16" s="10"/>
      <c r="S16" s="18"/>
      <c r="T16" s="18"/>
      <c r="U16" s="18"/>
      <c r="V16" s="18"/>
      <c r="W16" s="10">
        <f>IF('[1]Raw Data - Prior Year A-1'!W21:X21=0,"-",'[1]Raw Data - Prior Year A-1'!W21:X21)</f>
        <v>3982</v>
      </c>
      <c r="X16" s="10"/>
      <c r="Y16" s="18"/>
      <c r="Z16" s="18"/>
    </row>
    <row r="17" spans="1:26" ht="11.25" customHeight="1" x14ac:dyDescent="0.2">
      <c r="A17" s="9" t="s">
        <v>8</v>
      </c>
      <c r="B17" s="9"/>
      <c r="C17" s="18"/>
      <c r="D17" s="18"/>
      <c r="E17" s="10">
        <f>IF('[1]Raw Data - Prior Year A-1'!E22:F22=0,"-",'[1]Raw Data - Prior Year A-1'!E22:F22)</f>
        <v>5232</v>
      </c>
      <c r="F17" s="10"/>
      <c r="G17" s="18"/>
      <c r="H17" s="18"/>
      <c r="I17" s="18"/>
      <c r="J17" s="18"/>
      <c r="K17" s="10">
        <f>IF('[1]Raw Data - Prior Year A-1'!K22:L22=0,"-",'[1]Raw Data - Prior Year A-1'!K22:L22)</f>
        <v>6</v>
      </c>
      <c r="L17" s="10"/>
      <c r="M17" s="18"/>
      <c r="N17" s="18"/>
      <c r="O17" s="18"/>
      <c r="P17" s="18"/>
      <c r="Q17" s="10">
        <f>IF('[1]Raw Data - Prior Year A-1'!Q22:R22=0,"-",'[1]Raw Data - Prior Year A-1'!Q22:R22)</f>
        <v>1752</v>
      </c>
      <c r="R17" s="10"/>
      <c r="S17" s="18"/>
      <c r="T17" s="18"/>
      <c r="U17" s="18"/>
      <c r="V17" s="18"/>
      <c r="W17" s="10">
        <f>IF('[1]Raw Data - Prior Year A-1'!W22:X22=0,"-",'[1]Raw Data - Prior Year A-1'!W22:X22)</f>
        <v>3474</v>
      </c>
      <c r="X17" s="10"/>
      <c r="Y17" s="18"/>
      <c r="Z17" s="18"/>
    </row>
    <row r="18" spans="1:26" ht="11.25" customHeight="1" x14ac:dyDescent="0.2">
      <c r="A18" s="9" t="s">
        <v>9</v>
      </c>
      <c r="B18" s="9"/>
      <c r="C18" s="18"/>
      <c r="D18" s="18"/>
      <c r="E18" s="10">
        <f>IF('[1]Raw Data - Prior Year A-1'!E23:F23=0,"-",'[1]Raw Data - Prior Year A-1'!E23:F23)</f>
        <v>897</v>
      </c>
      <c r="F18" s="10"/>
      <c r="G18" s="18"/>
      <c r="H18" s="18"/>
      <c r="I18" s="18"/>
      <c r="J18" s="18"/>
      <c r="K18" s="10">
        <f>IF('[1]Raw Data - Prior Year A-1'!K23:L23=0,"-",'[1]Raw Data - Prior Year A-1'!K23:L23)</f>
        <v>4</v>
      </c>
      <c r="L18" s="10"/>
      <c r="M18" s="18"/>
      <c r="N18" s="18"/>
      <c r="O18" s="18"/>
      <c r="P18" s="18"/>
      <c r="Q18" s="10">
        <f>IF('[1]Raw Data - Prior Year A-1'!Q23:R23=0,"-",'[1]Raw Data - Prior Year A-1'!Q23:R23)</f>
        <v>385</v>
      </c>
      <c r="R18" s="10"/>
      <c r="S18" s="18"/>
      <c r="T18" s="18"/>
      <c r="U18" s="18"/>
      <c r="V18" s="18"/>
      <c r="W18" s="10">
        <f>IF('[1]Raw Data - Prior Year A-1'!W23:X23=0,"-",'[1]Raw Data - Prior Year A-1'!W23:X23)</f>
        <v>508</v>
      </c>
      <c r="X18" s="10"/>
      <c r="Y18" s="18"/>
      <c r="Z18" s="18"/>
    </row>
    <row r="19" spans="1:26" ht="11.25" customHeight="1" x14ac:dyDescent="0.2">
      <c r="A19" s="24"/>
      <c r="B19" s="24"/>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1.25" customHeight="1" x14ac:dyDescent="0.25">
      <c r="B20" s="2">
        <f>RIGHT('[1]Raw Data - Completed Term'!$A$1,4)-2</f>
        <v>2021</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1.25" customHeight="1" x14ac:dyDescent="0.2">
      <c r="A21" s="9" t="str">
        <f>IF(E21&lt;&gt;'[1]Raw Data - Prior Year A-1'!E26,"Number of Cases on Docket "&amp;CHAR(185),IF(K21&lt;&gt;'[1]Raw Data - Prior Year A-1'!K26,"Number of Cases on Docket "&amp;CHAR(185),IF(Q21&lt;&gt;'[1]Raw Data - Prior Year A-1'!Q26,"Number of Cases on Docket "&amp;CHAR(185),IF(W21&lt;&gt;'[1]Raw Data - Prior Year A-1'!W26,"Number of Cases on Docket "&amp;CHAR(185),"Number of Cases on Docket"))))</f>
        <v>Number of Cases on Docket</v>
      </c>
      <c r="B21" s="9"/>
      <c r="C21" s="18"/>
      <c r="D21" s="18"/>
      <c r="E21" s="11">
        <f>IF(VLOOKUP(24,'[1]Raw Data - Completed Term'!$A$1:$J$100,7,FALSE)=0,"-",VLOOKUP(24,'[1]Raw Data - Completed Term'!$A$1:$J$100,7,FALSE))</f>
        <v>5797</v>
      </c>
      <c r="F21" s="11"/>
      <c r="G21" s="23"/>
      <c r="H21" s="23"/>
      <c r="I21" s="23"/>
      <c r="J21" s="23"/>
      <c r="K21" s="11">
        <f>IF(VLOOKUP(21,'[1]Raw Data - Completed Term'!$A$1:$J$100,7,FALSE)=0,"-",VLOOKUP(21,'[1]Raw Data - Completed Term'!$A$1:$J$100,7,FALSE))</f>
        <v>5</v>
      </c>
      <c r="L21" s="11"/>
      <c r="M21" s="23"/>
      <c r="N21" s="23"/>
      <c r="O21" s="23"/>
      <c r="P21" s="23"/>
      <c r="Q21" s="11">
        <f>IF(VLOOKUP(3,'[1]Raw Data - Completed Term'!$A$1:$J$100,7,FALSE)=0,"-",VLOOKUP(3,'[1]Raw Data - Completed Term'!$A$1:$J$100,7,FALSE))</f>
        <v>1996</v>
      </c>
      <c r="R21" s="11"/>
      <c r="S21" s="23"/>
      <c r="T21" s="23"/>
      <c r="U21" s="23"/>
      <c r="V21" s="23"/>
      <c r="W21" s="11">
        <f>IF(VLOOKUP(12,'[1]Raw Data - Completed Term'!$A$1:$J$100,7,FALSE)=0,"-",VLOOKUP(12,'[1]Raw Data - Completed Term'!$A$1:$J$100,7,FALSE))</f>
        <v>3796</v>
      </c>
      <c r="X21" s="11"/>
      <c r="Y21" s="18"/>
      <c r="Z21" s="18"/>
    </row>
    <row r="22" spans="1:26" ht="11.25" customHeight="1" x14ac:dyDescent="0.2">
      <c r="A22" s="9" t="str">
        <f>IF(E22&lt;&gt;'[1]Raw Data - Prior Year A-1'!E27,"Cases Disposed of "&amp;CHAR(185),IF(K22&lt;&gt;'[1]Raw Data - Prior Year A-1'!K27,"Cases Disposed of "&amp;CHAR(185),IF(Q22&lt;&gt;'[1]Raw Data - Prior Year A-1'!Q27,"Cases Disposed of "&amp;CHAR(185),IF(W22&lt;&gt;'[1]Raw Data - Prior Year A-1'!W27,"Cases Disposed of "&amp;CHAR(185),"Cases Disposed of"))))</f>
        <v>Cases Disposed of</v>
      </c>
      <c r="B22" s="9"/>
      <c r="C22" s="18"/>
      <c r="D22" s="18"/>
      <c r="E22" s="11">
        <f>IF(((VLOOKUP(8,'[1]Raw Data - Completed Term'!$A$1:$J$100,7,FALSE)+VLOOKUP(17,'[1]Raw Data - Completed Term'!$A$1:$J$100,7,FALSE)+VLOOKUP(22,'[1]Raw Data - Completed Term'!$A$1:$J$100,7,FALSE))-(VLOOKUP(4,'[1]Raw Data - Completed Term'!$A$1:$J$100,5,FALSE)+VLOOKUP(13,'[1]Raw Data - Completed Term'!$A$1:$J$100,5,FALSE)))=0,"-",((VLOOKUP(8,'[1]Raw Data - Completed Term'!$A$1:$J$100,7,FALSE)+VLOOKUP(17,'[1]Raw Data - Completed Term'!$A$1:$J$100,7,FALSE)+VLOOKUP(22,'[1]Raw Data - Completed Term'!$A$1:$J$100,7,FALSE))-(VLOOKUP(4,'[1]Raw Data - Completed Term'!$A$1:$J$100,5,FALSE)+VLOOKUP(13,'[1]Raw Data - Completed Term'!$A$1:$J$100,5,FALSE))))</f>
        <v>5071</v>
      </c>
      <c r="F22" s="11"/>
      <c r="G22" s="23"/>
      <c r="H22" s="23"/>
      <c r="I22" s="23"/>
      <c r="J22" s="23"/>
      <c r="K22" s="11">
        <f>IF(VLOOKUP(22,'[1]Raw Data - Completed Term'!$A$1:$J$100,7,FALSE)=0,"-",VLOOKUP(22,'[1]Raw Data - Completed Term'!$A$1:$J$100,7,FALSE))</f>
        <v>1</v>
      </c>
      <c r="L22" s="11"/>
      <c r="M22" s="23"/>
      <c r="N22" s="23"/>
      <c r="O22" s="23"/>
      <c r="P22" s="23"/>
      <c r="Q22" s="11">
        <f>IF(VLOOKUP(8,'[1]Raw Data - Completed Term'!$A$1:$J$100,7,FALSE)-VLOOKUP(4,'[1]Raw Data - Completed Term'!$A$1:$J$100,5,FALSE)=0,"-",VLOOKUP(8,'[1]Raw Data - Completed Term'!$A$1:$J$100,7,FALSE)-VLOOKUP(4,'[1]Raw Data - Completed Term'!$A$1:$J$100,5,FALSE))</f>
        <v>1716</v>
      </c>
      <c r="R22" s="11"/>
      <c r="S22" s="23"/>
      <c r="T22" s="23"/>
      <c r="U22" s="23"/>
      <c r="V22" s="23"/>
      <c r="W22" s="11">
        <f>IF(VLOOKUP(17,'[1]Raw Data - Completed Term'!$A$1:$J$100,7,FALSE)-VLOOKUP(13,'[1]Raw Data - Completed Term'!$A$1:$J$100,5,FALSE)=0,"-",VLOOKUP(17,'[1]Raw Data - Completed Term'!$A$1:$J$100,7,FALSE)-VLOOKUP(13,'[1]Raw Data - Completed Term'!$A$1:$J$100,5,FALSE))</f>
        <v>3354</v>
      </c>
      <c r="X22" s="11"/>
      <c r="Y22" s="18"/>
      <c r="Z22" s="18"/>
    </row>
    <row r="23" spans="1:26" ht="11.25" customHeight="1" x14ac:dyDescent="0.2">
      <c r="A23" s="9" t="str">
        <f>IF(E23&lt;&gt;'[1]Raw Data - Prior Year A-1'!E28,"Number Remaining on Docket "&amp;CHAR(185),IF(K23&lt;&gt;'[1]Raw Data - Prior Year A-1'!K28,"Number Remaining on Docket "&amp;CHAR(185),IF(Q23&lt;&gt;'[1]Raw Data - Prior Year A-1'!Q28,"Number Remaining on Docket "&amp;CHAR(185),IF(W23&lt;&gt;'[1]Raw Data - Prior Year A-1'!W28,"Number Remaining on Docket "&amp;CHAR(185),"Number Remaining on Docket"))))</f>
        <v>Number Remaining on Docket</v>
      </c>
      <c r="B23" s="9"/>
      <c r="C23" s="18"/>
      <c r="D23" s="18"/>
      <c r="E23" s="11">
        <f>IF((VLOOKUP(9,'[1]Raw Data - Completed Term'!$A$1:$J$100,7,FALSE)+VLOOKUP(18,'[1]Raw Data - Completed Term'!$A$1:$J$100,7,FALSE)+VLOOKUP(23,'[1]Raw Data - Completed Term'!$A$1:$J$100,7,FALSE)+VLOOKUP(4,'[1]Raw Data - Completed Term'!$A$1:$J$100,5,FALSE)+VLOOKUP(13,'[1]Raw Data - Completed Term'!$A$1:$J$100,5,FALSE))=0,"-",(VLOOKUP(9,'[1]Raw Data - Completed Term'!$A$1:$J$100,7,FALSE)+VLOOKUP(18,'[1]Raw Data - Completed Term'!$A$1:$J$100,7,FALSE)+VLOOKUP(23,'[1]Raw Data - Completed Term'!$A$1:$J$100,7,FALSE)+VLOOKUP(4,'[1]Raw Data - Completed Term'!$A$1:$J$100,5,FALSE)+VLOOKUP(13,'[1]Raw Data - Completed Term'!$A$1:$J$100,5,FALSE)))</f>
        <v>726</v>
      </c>
      <c r="F23" s="11"/>
      <c r="G23" s="23"/>
      <c r="H23" s="23"/>
      <c r="I23" s="23"/>
      <c r="J23" s="23"/>
      <c r="K23" s="11">
        <f>IF(VLOOKUP(23,'[1]Raw Data - Completed Term'!$A$1:$J$100,7,FALSE)=0,"-",VLOOKUP(23,'[1]Raw Data - Completed Term'!$A$1:$J$100,7,FALSE))</f>
        <v>4</v>
      </c>
      <c r="L23" s="11"/>
      <c r="M23" s="23"/>
      <c r="N23" s="23"/>
      <c r="O23" s="23"/>
      <c r="P23" s="23"/>
      <c r="Q23" s="11">
        <f>IF(VLOOKUP(9,'[1]Raw Data - Completed Term'!$A$1:$J$100,7,FALSE)+VLOOKUP(4,'[1]Raw Data - Completed Term'!$A$1:$J$100,5,FALSE)=0,"-",VLOOKUP(9,'[1]Raw Data - Completed Term'!$A$1:$J$100,7,FALSE)+VLOOKUP(4,'[1]Raw Data - Completed Term'!$A$1:$J$100,5,FALSE))</f>
        <v>280</v>
      </c>
      <c r="R23" s="11"/>
      <c r="S23" s="23"/>
      <c r="T23" s="23"/>
      <c r="U23" s="23"/>
      <c r="V23" s="23"/>
      <c r="W23" s="11">
        <f>IF(VLOOKUP(18,'[1]Raw Data - Completed Term'!$A$1:$J$100,7,FALSE)+VLOOKUP(13,'[1]Raw Data - Completed Term'!$A$1:$J$100,5,FALSE)=0,"-",VLOOKUP(18,'[1]Raw Data - Completed Term'!$A$1:$J$100,7,FALSE)+VLOOKUP(13,'[1]Raw Data - Completed Term'!$A$1:$J$100,5,FALSE))</f>
        <v>442</v>
      </c>
      <c r="X23" s="11"/>
      <c r="Y23" s="18"/>
      <c r="Z23" s="18"/>
    </row>
    <row r="24" spans="1:26" ht="11.25" customHeight="1" x14ac:dyDescent="0.2">
      <c r="A24" s="24"/>
      <c r="B24" s="24"/>
      <c r="C24" s="18"/>
      <c r="D24" s="18"/>
      <c r="E24" s="23"/>
      <c r="F24" s="23"/>
      <c r="G24" s="23"/>
      <c r="H24" s="23"/>
      <c r="I24" s="23"/>
      <c r="J24" s="23"/>
      <c r="K24" s="23"/>
      <c r="L24" s="23"/>
      <c r="M24" s="23"/>
      <c r="N24" s="23"/>
      <c r="O24" s="23"/>
      <c r="P24" s="23"/>
      <c r="Q24" s="23"/>
      <c r="R24" s="23"/>
      <c r="S24" s="23"/>
      <c r="T24" s="23"/>
      <c r="U24" s="23"/>
      <c r="V24" s="23"/>
      <c r="W24" s="23"/>
      <c r="X24" s="23"/>
      <c r="Y24" s="18"/>
      <c r="Z24" s="18"/>
    </row>
    <row r="25" spans="1:26" ht="11.25" customHeight="1" x14ac:dyDescent="0.25">
      <c r="B25" s="2">
        <f>RIGHT('[1]Raw Data - Completed Term'!$A$1,4)-1</f>
        <v>2022</v>
      </c>
      <c r="C25" s="18"/>
      <c r="D25" s="18"/>
      <c r="E25" s="23"/>
      <c r="F25" s="23"/>
      <c r="G25" s="23"/>
      <c r="H25" s="23"/>
      <c r="I25" s="23"/>
      <c r="J25" s="23"/>
      <c r="K25" s="23"/>
      <c r="L25" s="23"/>
      <c r="M25" s="23"/>
      <c r="N25" s="23"/>
      <c r="O25" s="23"/>
      <c r="P25" s="23"/>
      <c r="Q25" s="23"/>
      <c r="R25" s="23"/>
      <c r="S25" s="23"/>
      <c r="T25" s="23"/>
      <c r="U25" s="23"/>
      <c r="V25" s="23"/>
      <c r="W25" s="23"/>
      <c r="X25" s="23"/>
      <c r="Y25" s="18"/>
      <c r="Z25" s="18"/>
    </row>
    <row r="26" spans="1:26" ht="11.25" customHeight="1" x14ac:dyDescent="0.2">
      <c r="A26" s="9" t="str">
        <f>IF(E26&lt;&gt;'[1]Raw Data - Prior Year A-1'!E31,"Number of Cases on Docket "&amp;CHAR(185),IF(K26&lt;&gt;'[1]Raw Data - Prior Year A-1'!K31,"Number of Cases on Docket "&amp;CHAR(185),IF(Q26&lt;&gt;'[1]Raw Data - Prior Year A-1'!Q31,"Number of Cases on Docket "&amp;CHAR(185),IF(W26&lt;&gt;'[1]Raw Data - Prior Year A-1'!W31,"Number of Cases on Docket "&amp;CHAR(185),"Number of Cases on Docket"))))</f>
        <v>Number of Cases on Docket</v>
      </c>
      <c r="B26" s="9"/>
      <c r="C26" s="18"/>
      <c r="D26" s="18"/>
      <c r="E26" s="11">
        <f>IF(VLOOKUP(24,'[1]Raw Data - Completed Term'!$A$1:$J$100,5,FALSE)=0,"-",VLOOKUP(24,'[1]Raw Data - Completed Term'!$A$1:$J$100,5,FALSE))</f>
        <v>4882</v>
      </c>
      <c r="F26" s="11"/>
      <c r="G26" s="23"/>
      <c r="H26" s="23"/>
      <c r="I26" s="23"/>
      <c r="J26" s="23"/>
      <c r="K26" s="11">
        <f>IF(VLOOKUP(21,'[1]Raw Data - Completed Term'!$A$1:$J$100,5,FALSE)=0,"-",VLOOKUP(21,'[1]Raw Data - Completed Term'!$A$1:$J$100,5,FALSE))</f>
        <v>4</v>
      </c>
      <c r="L26" s="11"/>
      <c r="M26" s="23"/>
      <c r="N26" s="23"/>
      <c r="O26" s="23"/>
      <c r="P26" s="23"/>
      <c r="Q26" s="11">
        <f>IF(VLOOKUP(3,'[1]Raw Data - Completed Term'!$A$1:$J$100,5,FALSE)=0,"-",VLOOKUP(3,'[1]Raw Data - Completed Term'!$A$1:$J$100,5,FALSE))</f>
        <v>1529</v>
      </c>
      <c r="R26" s="11"/>
      <c r="S26" s="23"/>
      <c r="T26" s="23"/>
      <c r="U26" s="23"/>
      <c r="V26" s="23"/>
      <c r="W26" s="11">
        <f>IF(VLOOKUP(12,'[1]Raw Data - Completed Term'!$A$1:$J$100,5,FALSE)=0,"-",VLOOKUP(12,'[1]Raw Data - Completed Term'!$A$1:$J$100,5,FALSE))</f>
        <v>3349</v>
      </c>
      <c r="X26" s="11"/>
      <c r="Y26" s="18"/>
      <c r="Z26" s="18"/>
    </row>
    <row r="27" spans="1:26" ht="11.25" customHeight="1" x14ac:dyDescent="0.2">
      <c r="A27" s="9" t="str">
        <f>IF(E27&lt;&gt;'[1]Raw Data - Prior Year A-1'!E32,"Cases Disposed of "&amp;CHAR(185),IF(K27&lt;&gt;'[1]Raw Data - Prior Year A-1'!K32,"Cases Disposed of "&amp;CHAR(185),IF(Q27&lt;&gt;'[1]Raw Data - Prior Year A-1'!Q32,"Cases Disposed of "&amp;CHAR(185),IF(W27&lt;&gt;'[1]Raw Data - Prior Year A-1'!W32,"Cases Disposed of "&amp;CHAR(185),"Cases Disposed of"))))</f>
        <v>Cases Disposed of ¹</v>
      </c>
      <c r="B27" s="9"/>
      <c r="C27" s="18"/>
      <c r="D27" s="18"/>
      <c r="E27" s="11">
        <f>IF(((VLOOKUP(8,'[1]Raw Data - Completed Term'!$A$1:$J$100,5,FALSE)+VLOOKUP(17,'[1]Raw Data - Completed Term'!$A$1:$J$100,5,FALSE)+VLOOKUP(22,'[1]Raw Data - Completed Term'!$A$1:$J$100,5,FALSE))-(VLOOKUP(4,'[1]Raw Data - Completed Term'!$A$1:$J$100,3,FALSE)+VLOOKUP(13,'[1]Raw Data - Completed Term'!$A$1:$J$100,3,FALSE)))=0,"-",((VLOOKUP(8,'[1]Raw Data - Completed Term'!$A$1:$J$100,5,FALSE)+VLOOKUP(17,'[1]Raw Data - Completed Term'!$A$1:$J$100,5,FALSE)+VLOOKUP(22,'[1]Raw Data - Completed Term'!$A$1:$J$100,5,FALSE))-(VLOOKUP(4,'[1]Raw Data - Completed Term'!$A$1:$J$100,3,FALSE)+VLOOKUP(13,'[1]Raw Data - Completed Term'!$A$1:$J$100,3,FALSE))))</f>
        <v>4189</v>
      </c>
      <c r="F27" s="11"/>
      <c r="G27" s="23"/>
      <c r="H27" s="23"/>
      <c r="I27" s="23"/>
      <c r="J27" s="23"/>
      <c r="K27" s="11">
        <f>IF(VLOOKUP(22,'[1]Raw Data - Completed Term'!$A$1:$J$100,5,FALSE)=0,"-",VLOOKUP(22,'[1]Raw Data - Completed Term'!$A$1:$J$100,5,FALSE))</f>
        <v>3</v>
      </c>
      <c r="L27" s="11"/>
      <c r="M27" s="23"/>
      <c r="N27" s="23"/>
      <c r="O27" s="23"/>
      <c r="P27" s="23"/>
      <c r="Q27" s="11">
        <f>IF(VLOOKUP(8,'[1]Raw Data - Completed Term'!$A$1:$J$100,5,FALSE)-VLOOKUP(4,'[1]Raw Data - Completed Term'!$A$1:$J$100,3,FALSE)=0,"-",VLOOKUP(8,'[1]Raw Data - Completed Term'!$A$1:$J$100,5,FALSE)-VLOOKUP(4,'[1]Raw Data - Completed Term'!$A$1:$J$100,3,FALSE))</f>
        <v>1274</v>
      </c>
      <c r="R27" s="11"/>
      <c r="S27" s="23"/>
      <c r="T27" s="23"/>
      <c r="U27" s="23"/>
      <c r="V27" s="23"/>
      <c r="W27" s="11">
        <f>IF(VLOOKUP(17,'[1]Raw Data - Completed Term'!$A$1:$J$100,5,FALSE)-VLOOKUP(13,'[1]Raw Data - Completed Term'!$A$1:$J$100,3,FALSE)=0,"-",VLOOKUP(17,'[1]Raw Data - Completed Term'!$A$1:$J$100,5,FALSE)-VLOOKUP(13,'[1]Raw Data - Completed Term'!$A$1:$J$100,3,FALSE))</f>
        <v>2912</v>
      </c>
      <c r="X27" s="11"/>
      <c r="Y27" s="18"/>
      <c r="Z27" s="18"/>
    </row>
    <row r="28" spans="1:26" ht="11.25" customHeight="1" x14ac:dyDescent="0.2">
      <c r="A28" s="9" t="str">
        <f>IF(E28&lt;&gt;'[1]Raw Data - Prior Year A-1'!E33,"Number Remaining on Docket "&amp;CHAR(185),IF(K28&lt;&gt;'[1]Raw Data - Prior Year A-1'!K33,"Number Remaining on Docket "&amp;CHAR(185),IF(Q28&lt;&gt;'[1]Raw Data - Prior Year A-1'!Q33,"Number Remaining on Docket "&amp;CHAR(185),IF(W28&lt;&gt;'[1]Raw Data - Prior Year A-1'!W33,"Number Remaining on Docket "&amp;CHAR(185),"Number Remaining on Docket"))))</f>
        <v>Number Remaining on Docket ¹</v>
      </c>
      <c r="B28" s="9"/>
      <c r="C28" s="18"/>
      <c r="D28" s="18"/>
      <c r="E28" s="11">
        <f>SUM(K28:X28)</f>
        <v>693</v>
      </c>
      <c r="F28" s="11"/>
      <c r="G28" s="23"/>
      <c r="H28" s="23"/>
      <c r="I28" s="23"/>
      <c r="J28" s="23"/>
      <c r="K28" s="11">
        <f>IF(VLOOKUP(23,'[1]Raw Data - Completed Term'!$A$1:$J$100,5,FALSE)=0,"-",VLOOKUP(23,'[1]Raw Data - Completed Term'!$A$1:$J$100,5,FALSE))</f>
        <v>1</v>
      </c>
      <c r="L28" s="11"/>
      <c r="M28" s="23"/>
      <c r="N28" s="23"/>
      <c r="O28" s="23"/>
      <c r="P28" s="23"/>
      <c r="Q28" s="11">
        <f>IF(VLOOKUP(9,'[1]Raw Data - Completed Term'!$A$1:$J$100,5,FALSE)+VLOOKUP(4,'[1]Raw Data - Completed Term'!$A$1:$J$100,3,FALSE)=0,"-",VLOOKUP(9,'[1]Raw Data - Completed Term'!$A$1:$J$100,5,FALSE)+VLOOKUP(4,'[1]Raw Data - Completed Term'!$A$1:$J$100,3,FALSE))</f>
        <v>255</v>
      </c>
      <c r="R28" s="11"/>
      <c r="S28" s="23"/>
      <c r="T28" s="23"/>
      <c r="U28" s="23"/>
      <c r="V28" s="23"/>
      <c r="W28" s="11">
        <f>IF(VLOOKUP(18,'[1]Raw Data - Completed Term'!$A$1:$J$100,5,FALSE)+VLOOKUP(13,'[1]Raw Data - Completed Term'!$A$1:$J$100,3,FALSE)=0,"-",VLOOKUP(18,'[1]Raw Data - Completed Term'!$A$1:$J$100,5,FALSE)+VLOOKUP(13,'[1]Raw Data - Completed Term'!$A$1:$J$100,3,FALSE))</f>
        <v>437</v>
      </c>
      <c r="X28" s="11"/>
      <c r="Y28" s="18"/>
      <c r="Z28" s="18"/>
    </row>
    <row r="29" spans="1:26" ht="11.25" customHeight="1" x14ac:dyDescent="0.2">
      <c r="A29" s="24"/>
      <c r="B29" s="24"/>
      <c r="C29" s="18"/>
      <c r="D29" s="18"/>
      <c r="E29" s="23"/>
      <c r="F29" s="23"/>
      <c r="G29" s="23"/>
      <c r="H29" s="23"/>
      <c r="I29" s="23"/>
      <c r="J29" s="23"/>
      <c r="K29" s="23"/>
      <c r="L29" s="23"/>
      <c r="M29" s="23"/>
      <c r="N29" s="23"/>
      <c r="O29" s="23"/>
      <c r="P29" s="23"/>
      <c r="Q29" s="23"/>
      <c r="R29" s="23"/>
      <c r="S29" s="23"/>
      <c r="T29" s="23"/>
      <c r="U29" s="23"/>
      <c r="V29" s="23"/>
      <c r="W29" s="23"/>
      <c r="X29" s="23"/>
      <c r="Y29" s="18"/>
      <c r="Z29" s="18"/>
    </row>
    <row r="30" spans="1:26" ht="11.25" customHeight="1" x14ac:dyDescent="0.25">
      <c r="B30" s="2" t="str">
        <f>RIGHT('[1]Raw Data - Completed Term'!$A$1,4)</f>
        <v>2023</v>
      </c>
      <c r="C30" s="18"/>
      <c r="D30" s="18"/>
      <c r="E30" s="23"/>
      <c r="F30" s="23"/>
      <c r="G30" s="23"/>
      <c r="H30" s="23"/>
      <c r="I30" s="23"/>
      <c r="J30" s="23"/>
      <c r="K30" s="23"/>
      <c r="L30" s="23"/>
      <c r="M30" s="23"/>
      <c r="N30" s="23"/>
      <c r="O30" s="23"/>
      <c r="P30" s="23"/>
      <c r="Q30" s="23"/>
      <c r="R30" s="23"/>
      <c r="S30" s="23"/>
      <c r="T30" s="23"/>
      <c r="U30" s="23"/>
      <c r="V30" s="23"/>
      <c r="W30" s="23"/>
      <c r="X30" s="23"/>
      <c r="Y30" s="18"/>
      <c r="Z30" s="18"/>
    </row>
    <row r="31" spans="1:26" ht="11.25" customHeight="1" x14ac:dyDescent="0.2">
      <c r="A31" s="9" t="s">
        <v>7</v>
      </c>
      <c r="B31" s="9"/>
      <c r="C31" s="18"/>
      <c r="D31" s="18"/>
      <c r="E31" s="11">
        <f>IF(VLOOKUP(24,'[1]Raw Data - Completed Term'!$A$1:$J$100,3,FALSE)=0,"-",VLOOKUP(24,'[1]Raw Data - Completed Term'!$A$1:$J$100,3,FALSE))</f>
        <v>4917</v>
      </c>
      <c r="F31" s="11"/>
      <c r="G31" s="23"/>
      <c r="H31" s="23"/>
      <c r="I31" s="23"/>
      <c r="J31" s="23"/>
      <c r="K31" s="11">
        <f>IF(VLOOKUP(21,'[1]Raw Data - Completed Term'!$A$1:$J$100,3,FALSE)=0,"-",VLOOKUP(21,'[1]Raw Data - Completed Term'!$A$1:$J$100,3,FALSE))</f>
        <v>3</v>
      </c>
      <c r="L31" s="11"/>
      <c r="M31" s="23"/>
      <c r="N31" s="23"/>
      <c r="O31" s="23"/>
      <c r="P31" s="23"/>
      <c r="Q31" s="11">
        <f>IF(VLOOKUP(3,'[1]Raw Data - Completed Term'!$A$1:$J$100,3,FALSE)=0,"-",VLOOKUP(3,'[1]Raw Data - Completed Term'!$A$1:$J$100,3,FALSE))</f>
        <v>1630</v>
      </c>
      <c r="R31" s="11"/>
      <c r="S31" s="23"/>
      <c r="T31" s="23"/>
      <c r="U31" s="23"/>
      <c r="V31" s="23"/>
      <c r="W31" s="11">
        <f>IF(VLOOKUP(12,'[1]Raw Data - Completed Term'!$A$1:$J$100,3,FALSE)=0,"-",VLOOKUP(12,'[1]Raw Data - Completed Term'!$A$1:$J$100,3,FALSE))</f>
        <v>3284</v>
      </c>
      <c r="X31" s="11"/>
      <c r="Y31" s="18"/>
      <c r="Z31" s="18"/>
    </row>
    <row r="32" spans="1:26" ht="11.25" customHeight="1" x14ac:dyDescent="0.2">
      <c r="A32" s="9" t="s">
        <v>8</v>
      </c>
      <c r="B32" s="9"/>
      <c r="C32" s="18"/>
      <c r="D32" s="18"/>
      <c r="E32" s="11">
        <f>SUM(K32:X32)</f>
        <v>4175</v>
      </c>
      <c r="F32" s="11"/>
      <c r="G32" s="23"/>
      <c r="H32" s="23"/>
      <c r="I32" s="23"/>
      <c r="J32" s="23"/>
      <c r="K32" s="11">
        <f>IF(VLOOKUP(22,'[1]Raw Data - Completed Term'!$A$1:$J$100,3,FALSE)=0,"-",VLOOKUP(22,'[1]Raw Data - Completed Term'!$A$1:$J$100,3,FALSE))</f>
        <v>2</v>
      </c>
      <c r="L32" s="11"/>
      <c r="M32" s="23"/>
      <c r="N32" s="23"/>
      <c r="O32" s="23"/>
      <c r="P32" s="23"/>
      <c r="Q32" s="11">
        <f>IF(VLOOKUP(8,'[1]Raw Data - Completed Term'!$A$1:$J$100,3,FALSE)-VLOOKUP(4,'[1]Raw Data - Next Term'!$A$1:$J$100,3,FALSE)=0,"-",VLOOKUP(8,'[1]Raw Data - Completed Term'!$A$1:$J$100,3,FALSE)-VLOOKUP(4,'[1]Raw Data - Next Term'!$A$1:$J$100,3,FALSE))</f>
        <v>1342</v>
      </c>
      <c r="R32" s="11"/>
      <c r="S32" s="23"/>
      <c r="T32" s="23"/>
      <c r="U32" s="23"/>
      <c r="V32" s="23"/>
      <c r="W32" s="11">
        <f>IF(VLOOKUP(17,'[1]Raw Data - Completed Term'!$A$1:$J$100,3,FALSE)-VLOOKUP(13,'[1]Raw Data - Next Term'!$A$1:$J$100,3,FALSE)=0,"-",VLOOKUP(17,'[1]Raw Data - Completed Term'!$A$1:$J$100,3,FALSE)-VLOOKUP(13,'[1]Raw Data - Next Term'!$A$1:$J$100,3,FALSE))</f>
        <v>2831</v>
      </c>
      <c r="X32" s="11"/>
      <c r="Y32" s="18"/>
      <c r="Z32" s="18"/>
    </row>
    <row r="33" spans="1:26" ht="11.25" customHeight="1" x14ac:dyDescent="0.2">
      <c r="A33" s="9" t="s">
        <v>9</v>
      </c>
      <c r="B33" s="9"/>
      <c r="C33" s="18"/>
      <c r="D33" s="18"/>
      <c r="E33" s="11">
        <f>SUM(K33:X33)</f>
        <v>742</v>
      </c>
      <c r="F33" s="11"/>
      <c r="G33" s="23"/>
      <c r="H33" s="23"/>
      <c r="I33" s="23"/>
      <c r="J33" s="23"/>
      <c r="K33" s="11">
        <f>IF(VLOOKUP(23,'[1]Raw Data - Completed Term'!$A$1:$J$100,3,FALSE)=0,"-",VLOOKUP(23,'[1]Raw Data - Completed Term'!$A$1:$J$100,3,FALSE))</f>
        <v>1</v>
      </c>
      <c r="L33" s="11"/>
      <c r="M33" s="23"/>
      <c r="N33" s="23"/>
      <c r="O33" s="23"/>
      <c r="P33" s="23"/>
      <c r="Q33" s="11">
        <f>IF(VLOOKUP(9,'[1]Raw Data - Completed Term'!$A$1:$J$100,3,FALSE)+VLOOKUP(4,'[1]Raw Data - Next Term'!$A$1:$J$100,3,FALSE)=0,"-",VLOOKUP(9,'[1]Raw Data - Completed Term'!$A$1:$J$100,3,FALSE)+VLOOKUP(4,'[1]Raw Data - Next Term'!$A$1:$J$100,3,FALSE))</f>
        <v>288</v>
      </c>
      <c r="R33" s="11"/>
      <c r="S33" s="23"/>
      <c r="T33" s="23"/>
      <c r="U33" s="23"/>
      <c r="V33" s="23"/>
      <c r="W33" s="11">
        <f>IF(VLOOKUP(18,'[1]Raw Data - Completed Term'!$A$1:$J$100,3,FALSE)+VLOOKUP(13,'[1]Raw Data - Next Term'!$A$1:$J$100,3,FALSE)=0,"-",VLOOKUP(18,'[1]Raw Data - Completed Term'!$A$1:$J$100,3,FALSE)+VLOOKUP(13,'[1]Raw Data - Next Term'!$A$1:$J$100,3,FALSE))</f>
        <v>453</v>
      </c>
      <c r="X33" s="11"/>
      <c r="Y33" s="18"/>
      <c r="Z33" s="18"/>
    </row>
    <row r="34" spans="1:26" ht="11.25" customHeight="1" thickBot="1" x14ac:dyDescent="0.25">
      <c r="A34" s="9"/>
      <c r="B34" s="9"/>
      <c r="C34" s="18"/>
      <c r="D34" s="18"/>
      <c r="E34" s="19"/>
      <c r="F34" s="19"/>
      <c r="G34" s="18"/>
      <c r="H34" s="18"/>
      <c r="I34" s="18"/>
      <c r="J34" s="18"/>
      <c r="K34" s="19"/>
      <c r="L34" s="19"/>
      <c r="M34" s="18"/>
      <c r="N34" s="18"/>
      <c r="O34" s="18"/>
      <c r="P34" s="18"/>
      <c r="Q34" s="19"/>
      <c r="R34" s="19"/>
      <c r="S34" s="18"/>
      <c r="T34" s="18"/>
      <c r="U34" s="18"/>
      <c r="V34" s="18"/>
      <c r="W34" s="19"/>
      <c r="X34" s="19"/>
      <c r="Y34" s="18"/>
      <c r="Z34" s="18"/>
    </row>
    <row r="35" spans="1:26" ht="13.5" customHeight="1" x14ac:dyDescent="0.25">
      <c r="A35" s="20"/>
      <c r="B35" s="20"/>
      <c r="C35" s="20"/>
      <c r="D35" s="20"/>
      <c r="E35" s="20"/>
      <c r="F35" s="20"/>
      <c r="G35" s="21" t="s">
        <v>10</v>
      </c>
      <c r="H35" s="22"/>
      <c r="I35" s="22"/>
      <c r="J35" s="22"/>
      <c r="K35" s="22"/>
      <c r="L35" s="22"/>
      <c r="M35" s="22"/>
      <c r="N35" s="22"/>
      <c r="O35" s="22"/>
      <c r="P35" s="22"/>
      <c r="Q35" s="22"/>
      <c r="R35" s="22"/>
      <c r="S35" s="22"/>
      <c r="T35" s="22"/>
      <c r="U35" s="22"/>
      <c r="V35" s="22"/>
      <c r="W35" s="22"/>
      <c r="X35" s="22"/>
      <c r="Y35" s="22"/>
      <c r="Z35" s="22"/>
    </row>
    <row r="36" spans="1:26" ht="15" customHeight="1" x14ac:dyDescent="0.2">
      <c r="A36" s="14" t="s">
        <v>2</v>
      </c>
      <c r="B36" s="14"/>
      <c r="C36" s="14"/>
      <c r="D36" s="14"/>
      <c r="E36" s="14"/>
      <c r="F36" s="15"/>
      <c r="G36" s="16">
        <f>RIGHT('[1]Raw Data - Completed Term'!$A$1,4)-4</f>
        <v>2019</v>
      </c>
      <c r="H36" s="17"/>
      <c r="I36" s="17"/>
      <c r="J36" s="17"/>
      <c r="K36" s="16">
        <f>RIGHT('[1]Raw Data - Completed Term'!$A$1,4)-3</f>
        <v>2020</v>
      </c>
      <c r="L36" s="17"/>
      <c r="M36" s="17"/>
      <c r="N36" s="17"/>
      <c r="O36" s="16">
        <f>RIGHT('[1]Raw Data - Completed Term'!$A$1,4)-2</f>
        <v>2021</v>
      </c>
      <c r="P36" s="17"/>
      <c r="Q36" s="17"/>
      <c r="R36" s="17"/>
      <c r="S36" s="16">
        <f>RIGHT('[1]Raw Data - Completed Term'!$A$1,4)-1</f>
        <v>2022</v>
      </c>
      <c r="T36" s="17"/>
      <c r="U36" s="17"/>
      <c r="V36" s="17"/>
      <c r="W36" s="16" t="str">
        <f>RIGHT('[1]Raw Data - Completed Term'!$A$1,4)</f>
        <v>2023</v>
      </c>
      <c r="X36" s="17"/>
      <c r="Y36" s="17"/>
      <c r="Z36" s="17"/>
    </row>
    <row r="37" spans="1:26" ht="3.75"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1.25" customHeight="1" x14ac:dyDescent="0.2">
      <c r="A38" s="12"/>
      <c r="B38" s="12"/>
      <c r="C38" s="12"/>
      <c r="D38" s="12"/>
      <c r="E38" s="12"/>
      <c r="F38" s="12"/>
      <c r="H38" s="12"/>
      <c r="I38" s="12"/>
      <c r="L38" s="12"/>
      <c r="M38" s="12"/>
      <c r="P38" s="12"/>
      <c r="Q38" s="12"/>
      <c r="R38" s="3"/>
      <c r="S38" s="3"/>
      <c r="T38" s="12"/>
      <c r="U38" s="12"/>
      <c r="X38" s="12"/>
      <c r="Y38" s="12"/>
    </row>
    <row r="39" spans="1:26" ht="11.25" customHeight="1" x14ac:dyDescent="0.2">
      <c r="A39" s="9" t="s">
        <v>11</v>
      </c>
      <c r="B39" s="9"/>
      <c r="C39" s="9"/>
      <c r="D39" s="9"/>
      <c r="E39" s="9"/>
      <c r="F39" s="9"/>
      <c r="G39" s="3"/>
      <c r="H39" s="10">
        <f>IF('[1]Raw Data - Prior Year A-1'!L39=0,"-",'[1]Raw Data - Prior Year A-1'!L39)</f>
        <v>73</v>
      </c>
      <c r="I39" s="10"/>
      <c r="J39" s="3"/>
      <c r="K39" s="3"/>
      <c r="L39" s="10">
        <f>IF('[1]Raw Data - Prior Year A-1'!P39=0,"-",'[1]Raw Data - Prior Year A-1'!P39)</f>
        <v>72</v>
      </c>
      <c r="M39" s="10"/>
      <c r="N39" s="3"/>
      <c r="O39" s="3"/>
      <c r="P39" s="11">
        <f>IF(VLOOKUP(30,'[1]Raw Data - Completed Term'!$A$1:$J$100,7,FALSE)=0,"-", VLOOKUP(30,'[1]Raw Data - Completed Term'!$A$1:$J$100,7,FALSE))</f>
        <v>70</v>
      </c>
      <c r="Q39" s="11"/>
      <c r="R39" s="4"/>
      <c r="S39" s="4"/>
      <c r="T39" s="11">
        <f>IF(VLOOKUP(30,'[1]Raw Data - Completed Term'!$A$1:$J$100,5,FALSE)=0,"-",VLOOKUP(30,'[1]Raw Data - Completed Term'!$A$1:$J$100,5,FALSE))</f>
        <v>68</v>
      </c>
      <c r="U39" s="11"/>
      <c r="V39" s="4"/>
      <c r="W39" s="4"/>
      <c r="X39" s="11">
        <f>IF(VLOOKUP(30,'[1]Raw Data - Completed Term'!$A$1:$J$100,3,FALSE)=0,"-",VLOOKUP(30,'[1]Raw Data - Completed Term'!$A$1:$J$100,3,FALSE))</f>
        <v>69</v>
      </c>
      <c r="Y39" s="11"/>
    </row>
    <row r="40" spans="1:26" ht="11.25" customHeight="1" x14ac:dyDescent="0.2">
      <c r="A40" s="9" t="s">
        <v>12</v>
      </c>
      <c r="B40" s="9"/>
      <c r="C40" s="9"/>
      <c r="D40" s="9"/>
      <c r="E40" s="9"/>
      <c r="F40" s="9"/>
      <c r="G40" s="3"/>
      <c r="H40" s="10">
        <f>IF('[1]Raw Data - Prior Year A-1'!L40=0,"-",'[1]Raw Data - Prior Year A-1'!L40)</f>
        <v>69</v>
      </c>
      <c r="I40" s="10"/>
      <c r="J40" s="3"/>
      <c r="K40" s="3"/>
      <c r="L40" s="10">
        <f>IF('[1]Raw Data - Prior Year A-1'!P40=0,"-",'[1]Raw Data - Prior Year A-1'!P40)</f>
        <v>69</v>
      </c>
      <c r="M40" s="10"/>
      <c r="N40" s="3"/>
      <c r="O40" s="3"/>
      <c r="P40" s="11">
        <f>IF(VLOOKUP(36,'[1]Raw Data - Completed Term'!$A$1:$J$100,7,FALSE)=0,"-",VLOOKUP(36,'[1]Raw Data - Completed Term'!$A$1:$J$100,7,FALSE))</f>
        <v>63</v>
      </c>
      <c r="Q40" s="11"/>
      <c r="R40" s="4"/>
      <c r="S40" s="4"/>
      <c r="T40" s="11">
        <f>IF(VLOOKUP(36,'[1]Raw Data - Completed Term'!$A$1:$J$100,5,FALSE)=0,"-",VLOOKUP(36,'[1]Raw Data - Completed Term'!$A$1:$J$100,5,FALSE))</f>
        <v>66</v>
      </c>
      <c r="U40" s="11"/>
      <c r="V40" s="4"/>
      <c r="W40" s="4"/>
      <c r="X40" s="11">
        <f>IF(VLOOKUP(36,'[1]Raw Data - Completed Term'!$A$1:$J$100,3,FALSE)=0,"-",VLOOKUP(36,'[1]Raw Data - Completed Term'!$A$1:$J$100,3,FALSE))</f>
        <v>64</v>
      </c>
      <c r="Y40" s="11"/>
    </row>
    <row r="41" spans="1:26" ht="11.25" customHeight="1" x14ac:dyDescent="0.2">
      <c r="A41" s="9" t="s">
        <v>13</v>
      </c>
      <c r="B41" s="9"/>
      <c r="C41" s="9"/>
      <c r="D41" s="9"/>
      <c r="E41" s="9"/>
      <c r="F41" s="9"/>
      <c r="G41" s="3"/>
      <c r="H41" s="10">
        <f>IF('[1]Raw Data - Prior Year A-1'!L41=0,"-",'[1]Raw Data - Prior Year A-1'!L41)</f>
        <v>4</v>
      </c>
      <c r="I41" s="10"/>
      <c r="J41" s="3"/>
      <c r="K41" s="3"/>
      <c r="L41" s="10">
        <f>IF('[1]Raw Data - Prior Year A-1'!P41=0,"-",'[1]Raw Data - Prior Year A-1'!P41)</f>
        <v>3</v>
      </c>
      <c r="M41" s="10"/>
      <c r="N41" s="3"/>
      <c r="O41" s="3"/>
      <c r="P41" s="11">
        <f>IF(VLOOKUP(37,'[1]Raw Data - Completed Term'!$A$1:$J$100,7,FALSE)=0,"-",VLOOKUP(37,'[1]Raw Data - Completed Term'!$A$1:$J$100,7,FALSE))</f>
        <v>7</v>
      </c>
      <c r="Q41" s="11"/>
      <c r="R41" s="4"/>
      <c r="S41" s="4"/>
      <c r="T41" s="11">
        <f>IF(VLOOKUP(37,'[1]Raw Data - Completed Term'!$A$1:$J$100,5,FALSE)=0,"-",VLOOKUP(37,'[1]Raw Data - Completed Term'!$A$1:$J$100,5,FALSE))</f>
        <v>2</v>
      </c>
      <c r="U41" s="11"/>
      <c r="V41" s="4"/>
      <c r="W41" s="4"/>
      <c r="X41" s="11">
        <f>IF(VLOOKUP(37,'[1]Raw Data - Completed Term'!$A$1:$J$100,3,FALSE)=0,"-",VLOOKUP(37,'[1]Raw Data - Completed Term'!$A$1:$J$100,3,FALSE))</f>
        <v>5</v>
      </c>
      <c r="Y41" s="11"/>
    </row>
    <row r="42" spans="1:26" ht="11.25" customHeight="1" x14ac:dyDescent="0.2">
      <c r="A42" s="9" t="s">
        <v>14</v>
      </c>
      <c r="B42" s="9"/>
      <c r="C42" s="9"/>
      <c r="D42" s="9"/>
      <c r="E42" s="9"/>
      <c r="F42" s="9"/>
      <c r="G42" s="3"/>
      <c r="H42" s="10" t="str">
        <f>IF('[1]Raw Data - Prior Year A-1'!L42=0,"-",'[1]Raw Data - Prior Year A-1'!L42)</f>
        <v>-</v>
      </c>
      <c r="I42" s="10"/>
      <c r="J42" s="3"/>
      <c r="K42" s="3"/>
      <c r="L42" s="10" t="str">
        <f>IF('[1]Raw Data - Prior Year A-1'!P42=0,"-",'[1]Raw Data - Prior Year A-1'!P42)</f>
        <v>-</v>
      </c>
      <c r="M42" s="10"/>
      <c r="N42" s="3"/>
      <c r="O42" s="3"/>
      <c r="P42" s="11" t="str">
        <f>IF(VLOOKUP(38,'[1]Raw Data - Completed Term'!$A$1:$J$100,7,FALSE)=0,"-",VLOOKUP(38,'[1]Raw Data - Completed Term'!$A$1:$J$100,7,FALSE))</f>
        <v>-</v>
      </c>
      <c r="Q42" s="11"/>
      <c r="R42" s="4"/>
      <c r="S42" s="4"/>
      <c r="T42" s="11" t="str">
        <f>IF(VLOOKUP(38,'[1]Raw Data - Completed Term'!$A$1:$J$100,5,FALSE)=0,"-",VLOOKUP(38,'[1]Raw Data - Completed Term'!$A$1:$J$100,5,FALSE))</f>
        <v>-</v>
      </c>
      <c r="U42" s="11"/>
      <c r="V42" s="4"/>
      <c r="W42" s="4"/>
      <c r="X42" s="11" t="str">
        <f>IF(VLOOKUP(38,'[1]Raw Data - Completed Term'!$A$1:$J$100,3,FALSE)=0,"-",VLOOKUP(38,'[1]Raw Data - Completed Term'!$A$1:$J$100,3,FALSE))</f>
        <v>-</v>
      </c>
      <c r="Y42" s="11"/>
    </row>
    <row r="43" spans="1:26" ht="11.25" customHeight="1" x14ac:dyDescent="0.2">
      <c r="A43" s="9" t="s">
        <v>15</v>
      </c>
      <c r="B43" s="9"/>
      <c r="C43" s="9"/>
      <c r="D43" s="9"/>
      <c r="E43" s="9"/>
      <c r="F43" s="9"/>
      <c r="G43" s="3"/>
      <c r="H43" s="10">
        <f>IF('[1]Raw Data - Prior Year A-1'!L43=0,"-",'[1]Raw Data - Prior Year A-1'!L43)</f>
        <v>60</v>
      </c>
      <c r="I43" s="10"/>
      <c r="J43" s="3"/>
      <c r="K43" s="3"/>
      <c r="L43" s="10">
        <f>IF('[1]Raw Data - Prior Year A-1'!P43=0,"-",'[1]Raw Data - Prior Year A-1'!P43)</f>
        <v>72</v>
      </c>
      <c r="M43" s="10"/>
      <c r="N43" s="3"/>
      <c r="O43" s="3"/>
      <c r="P43" s="11">
        <f>IF(VLOOKUP(26,'[1]Raw Data - Completed Term'!$A$1:$J$100,7,FALSE)=0,"-",VLOOKUP(26,'[1]Raw Data - Completed Term'!$A$1:$J$100,7,FALSE))</f>
        <v>74</v>
      </c>
      <c r="Q43" s="11"/>
      <c r="R43" s="4"/>
      <c r="S43" s="4"/>
      <c r="T43" s="11">
        <f>IF(VLOOKUP(26,'[1]Raw Data - Completed Term'!$A$1:$J$100,5,FALSE)=0,"-",VLOOKUP(26,'[1]Raw Data - Completed Term'!$A$1:$J$100,5,FALSE))</f>
        <v>61</v>
      </c>
      <c r="U43" s="11"/>
      <c r="V43" s="4"/>
      <c r="W43" s="4"/>
      <c r="X43" s="11">
        <f>IF(VLOOKUP(26,'[1]Raw Data - Completed Term'!$A$1:$J$100,3,FALSE)=0,"-",VLOOKUP(26,'[1]Raw Data - Completed Term'!$A$1:$J$100,3,FALSE))</f>
        <v>69</v>
      </c>
      <c r="Y43" s="11"/>
    </row>
    <row r="44" spans="1:26" ht="11.25" customHeight="1" x14ac:dyDescent="0.2">
      <c r="A44" s="9" t="s">
        <v>16</v>
      </c>
      <c r="B44" s="9"/>
      <c r="C44" s="9"/>
      <c r="D44" s="9"/>
      <c r="E44" s="9"/>
      <c r="F44" s="9"/>
      <c r="G44" s="3"/>
      <c r="H44" s="10">
        <f>IF('[1]Raw Data - Prior Year A-1'!L44=0,"-",'[1]Raw Data - Prior Year A-1'!L44)</f>
        <v>105</v>
      </c>
      <c r="I44" s="10"/>
      <c r="J44" s="3"/>
      <c r="K44" s="3"/>
      <c r="L44" s="10">
        <f>IF('[1]Raw Data - Prior Year A-1'!P44=0,"-",'[1]Raw Data - Prior Year A-1'!P44)</f>
        <v>91</v>
      </c>
      <c r="M44" s="10"/>
      <c r="N44" s="3"/>
      <c r="O44" s="3"/>
      <c r="P44" s="11">
        <f>IF(VLOOKUP(6,'[1]Raw Data - Completed Term'!$A$1:$J$100,7,FALSE)+VLOOKUP(15,'[1]Raw Data - Completed Term'!$A$1:$J$100,7,FALSE)=0,"-",VLOOKUP(6,'[1]Raw Data - Completed Term'!$A$1:$J$100,7,FALSE)+VLOOKUP(15,'[1]Raw Data - Completed Term'!$A$1:$J$100,7,FALSE))</f>
        <v>97</v>
      </c>
      <c r="Q44" s="11"/>
      <c r="R44" s="4"/>
      <c r="S44" s="4"/>
      <c r="T44" s="11">
        <f>IF(VLOOKUP(6,'[1]Raw Data - Completed Term'!$A$1:$J$100,5,FALSE)+VLOOKUP(15,'[1]Raw Data - Completed Term'!$A$1:$J$100,5,FALSE)=0,"-",VLOOKUP(6,'[1]Raw Data - Completed Term'!$A$1:$J$100,5,FALSE)+VLOOKUP(15,'[1]Raw Data - Completed Term'!$A$1:$J$100,5,FALSE))</f>
        <v>57</v>
      </c>
      <c r="U44" s="11"/>
      <c r="V44" s="4"/>
      <c r="W44" s="4"/>
      <c r="X44" s="11">
        <f>IF(VLOOKUP(6,'[1]Raw Data - Completed Term'!$A$1:$J$100,3,FALSE)+VLOOKUP(15,'[1]Raw Data - Completed Term'!$A$1:$J$100,3,FALSE)=0,"-",VLOOKUP(6,'[1]Raw Data - Completed Term'!$A$1:$J$100,3,FALSE)+VLOOKUP(15,'[1]Raw Data - Completed Term'!$A$1:$J$100,3,FALSE))</f>
        <v>57</v>
      </c>
      <c r="Y44" s="11"/>
    </row>
    <row r="45" spans="1:26" ht="11.25" customHeight="1" x14ac:dyDescent="0.2">
      <c r="A45" s="9" t="s">
        <v>17</v>
      </c>
      <c r="B45" s="9"/>
      <c r="C45" s="9"/>
      <c r="D45" s="9"/>
      <c r="E45" s="9"/>
      <c r="F45" s="9"/>
      <c r="G45" s="3"/>
      <c r="H45" s="10">
        <f>IF('[1]Raw Data - Prior Year A-1'!L45=0,"-",'[1]Raw Data - Prior Year A-1'!L45)</f>
        <v>37</v>
      </c>
      <c r="I45" s="10"/>
      <c r="J45" s="3"/>
      <c r="K45" s="3"/>
      <c r="L45" s="10">
        <f>IF('[1]Raw Data - Prior Year A-1'!P45=0,"-",'[1]Raw Data - Prior Year A-1'!P45)</f>
        <v>31</v>
      </c>
      <c r="M45" s="10"/>
      <c r="N45" s="3"/>
      <c r="O45" s="3"/>
      <c r="P45" s="11" t="str">
        <f>IF(VLOOKUP("to be argued next Term………………………",'[1]Raw Data - Completed Term'!$B$1:$J$100,6,FALSE)=0,"-",VLOOKUP("to be argued next Term………………………",'[1]Raw Data - Completed Term'!$B$1:$J$100,6,FALSE))</f>
        <v>-</v>
      </c>
      <c r="Q45" s="11"/>
      <c r="R45" s="4"/>
      <c r="S45" s="4"/>
      <c r="T45" s="11">
        <f>IF(VLOOKUP("to be argued next Term………………………",'[1]Raw Data - Completed Term'!$B$1:$J$100,4,FALSE)=0,"-",VLOOKUP("to be argued next Term………………………",'[1]Raw Data - Completed Term'!$B$1:$J$100,4,FALSE))</f>
        <v>23</v>
      </c>
      <c r="U45" s="11"/>
      <c r="V45" s="4"/>
      <c r="W45" s="4"/>
      <c r="X45" s="11">
        <f>IF(VLOOKUP("to be argued next Term………………………",'[1]Raw Data - Completed Term'!$B$1:$J$100,2,FALSE)=0,"-",VLOOKUP("to be argued next Term………………………",'[1]Raw Data - Completed Term'!$B$1:$J$100,2,FALSE))</f>
        <v>28</v>
      </c>
      <c r="Y45" s="11"/>
    </row>
    <row r="46" spans="1:26" ht="11.25" customHeight="1" x14ac:dyDescent="0.2">
      <c r="A46" s="7"/>
      <c r="B46" s="7"/>
      <c r="C46" s="7"/>
      <c r="D46" s="7"/>
      <c r="E46" s="7"/>
      <c r="F46" s="7"/>
      <c r="G46" s="5"/>
      <c r="H46" s="8"/>
      <c r="I46" s="8"/>
      <c r="J46" s="5"/>
      <c r="K46" s="5"/>
      <c r="L46" s="8"/>
      <c r="M46" s="8"/>
      <c r="N46" s="5"/>
      <c r="O46" s="5"/>
      <c r="P46" s="8"/>
      <c r="Q46" s="8"/>
      <c r="R46" s="5"/>
      <c r="S46" s="5"/>
      <c r="T46" s="8"/>
      <c r="U46" s="8"/>
      <c r="V46" s="5"/>
      <c r="W46" s="5"/>
      <c r="X46" s="8"/>
      <c r="Y46" s="8"/>
      <c r="Z46" s="5"/>
    </row>
    <row r="47" spans="1:26" ht="56.25" customHeight="1" x14ac:dyDescent="0.2">
      <c r="A47" s="6" t="s">
        <v>18</v>
      </c>
      <c r="B47" s="6"/>
      <c r="C47" s="6"/>
      <c r="D47" s="6"/>
      <c r="E47" s="6"/>
      <c r="F47" s="6"/>
      <c r="G47" s="6"/>
      <c r="H47" s="6"/>
      <c r="I47" s="6"/>
      <c r="J47" s="6"/>
      <c r="K47" s="6"/>
      <c r="L47" s="6"/>
      <c r="M47" s="6"/>
      <c r="N47" s="6"/>
      <c r="O47" s="6"/>
      <c r="P47" s="6"/>
      <c r="Q47" s="6"/>
      <c r="R47" s="6"/>
      <c r="S47" s="6"/>
      <c r="T47" s="6"/>
      <c r="U47" s="6"/>
      <c r="V47" s="6"/>
      <c r="W47" s="6"/>
      <c r="X47" s="6"/>
      <c r="Y47" s="6"/>
      <c r="Z47" s="6"/>
    </row>
    <row r="48" spans="1:26" ht="11.25" customHeight="1" x14ac:dyDescent="0.2">
      <c r="A48" s="1" t="str">
        <f>IF(RIGHT(A21,1)=CHAR(185),CHAR(185)&amp;" Revised.",IF(RIGHT(A22,1)=CHAR(185),CHAR(185)&amp;" Revised.",IF(RIGHT(A23,1)=CHAR(185),CHAR(185)&amp;" Revised.",IF(RIGHT(A26,1)=CHAR(185),CHAR(185)&amp;" Revised.",IF(RIGHT(A27,1)=CHAR(185),CHAR(185)&amp;" Revised.",IF(RIGHT(A28,1)=CHAR(185),CHAR(185)&amp;" Revised."," "))))))</f>
        <v>¹ Revised.</v>
      </c>
    </row>
    <row r="49" ht="11.25" customHeight="1" x14ac:dyDescent="0.2"/>
    <row r="50" ht="13.5" customHeight="1" x14ac:dyDescent="0.2"/>
  </sheetData>
  <mergeCells count="415">
    <mergeCell ref="A2:Z2"/>
    <mergeCell ref="A3:Z3"/>
    <mergeCell ref="A4:Z4"/>
    <mergeCell ref="A6:B7"/>
    <mergeCell ref="C6:H7"/>
    <mergeCell ref="I6:N7"/>
    <mergeCell ref="O6:T7"/>
    <mergeCell ref="U6:Z7"/>
    <mergeCell ref="A8:B8"/>
    <mergeCell ref="C8:H8"/>
    <mergeCell ref="I8:N8"/>
    <mergeCell ref="O8:T8"/>
    <mergeCell ref="U8:Z8"/>
    <mergeCell ref="A9:B9"/>
    <mergeCell ref="C9:D9"/>
    <mergeCell ref="E9:F9"/>
    <mergeCell ref="G9:H9"/>
    <mergeCell ref="I9:J9"/>
    <mergeCell ref="W9:X9"/>
    <mergeCell ref="Y9:Z9"/>
    <mergeCell ref="C10:D10"/>
    <mergeCell ref="E10:F10"/>
    <mergeCell ref="G10:H10"/>
    <mergeCell ref="I10:J10"/>
    <mergeCell ref="K10:L10"/>
    <mergeCell ref="M10:N10"/>
    <mergeCell ref="O10:P10"/>
    <mergeCell ref="Q10:R10"/>
    <mergeCell ref="K9:L9"/>
    <mergeCell ref="M9:N9"/>
    <mergeCell ref="O9:P9"/>
    <mergeCell ref="Q9:R9"/>
    <mergeCell ref="S9:T9"/>
    <mergeCell ref="U9:V9"/>
    <mergeCell ref="S10:T10"/>
    <mergeCell ref="U10:V10"/>
    <mergeCell ref="W10:X10"/>
    <mergeCell ref="Y10:Z10"/>
    <mergeCell ref="A11:B11"/>
    <mergeCell ref="C11:D11"/>
    <mergeCell ref="E11:F11"/>
    <mergeCell ref="G11:H11"/>
    <mergeCell ref="I11:J11"/>
    <mergeCell ref="K11:L11"/>
    <mergeCell ref="Y11:Z11"/>
    <mergeCell ref="A12:B12"/>
    <mergeCell ref="C12:D12"/>
    <mergeCell ref="E12:F12"/>
    <mergeCell ref="G12:H12"/>
    <mergeCell ref="I12:J12"/>
    <mergeCell ref="K12:L12"/>
    <mergeCell ref="M12:N12"/>
    <mergeCell ref="O12:P12"/>
    <mergeCell ref="Q12:R12"/>
    <mergeCell ref="M11:N11"/>
    <mergeCell ref="O11:P11"/>
    <mergeCell ref="Q11:R11"/>
    <mergeCell ref="S11:T11"/>
    <mergeCell ref="U11:V11"/>
    <mergeCell ref="W11:X11"/>
    <mergeCell ref="S12:T12"/>
    <mergeCell ref="U12:V12"/>
    <mergeCell ref="W12:X12"/>
    <mergeCell ref="Y12:Z12"/>
    <mergeCell ref="A13:B13"/>
    <mergeCell ref="C13:D13"/>
    <mergeCell ref="E13:F13"/>
    <mergeCell ref="G13:H13"/>
    <mergeCell ref="I13:J13"/>
    <mergeCell ref="K13:L13"/>
    <mergeCell ref="C15:D15"/>
    <mergeCell ref="E15:F15"/>
    <mergeCell ref="G15:H15"/>
    <mergeCell ref="I15:J15"/>
    <mergeCell ref="K15:L15"/>
    <mergeCell ref="M15:N15"/>
    <mergeCell ref="Y13:Z13"/>
    <mergeCell ref="A14:B14"/>
    <mergeCell ref="C14:D14"/>
    <mergeCell ref="E14:F14"/>
    <mergeCell ref="G14:H14"/>
    <mergeCell ref="I14:J14"/>
    <mergeCell ref="K14:L14"/>
    <mergeCell ref="M14:N14"/>
    <mergeCell ref="O14:P14"/>
    <mergeCell ref="Q14:R14"/>
    <mergeCell ref="M13:N13"/>
    <mergeCell ref="O13:P13"/>
    <mergeCell ref="Q13:R13"/>
    <mergeCell ref="S13:T13"/>
    <mergeCell ref="U13:V13"/>
    <mergeCell ref="W13:X13"/>
    <mergeCell ref="O15:P15"/>
    <mergeCell ref="Q15:R15"/>
    <mergeCell ref="S15:T15"/>
    <mergeCell ref="U15:V15"/>
    <mergeCell ref="W15:X15"/>
    <mergeCell ref="Y15:Z15"/>
    <mergeCell ref="S14:T14"/>
    <mergeCell ref="U14:V14"/>
    <mergeCell ref="W14:X14"/>
    <mergeCell ref="Y14:Z14"/>
    <mergeCell ref="Y16:Z16"/>
    <mergeCell ref="A17:B17"/>
    <mergeCell ref="C17:D17"/>
    <mergeCell ref="E17:F17"/>
    <mergeCell ref="G17:H17"/>
    <mergeCell ref="I17:J17"/>
    <mergeCell ref="K17:L17"/>
    <mergeCell ref="M17:N17"/>
    <mergeCell ref="O17:P17"/>
    <mergeCell ref="Q17:R17"/>
    <mergeCell ref="M16:N16"/>
    <mergeCell ref="O16:P16"/>
    <mergeCell ref="Q16:R16"/>
    <mergeCell ref="S16:T16"/>
    <mergeCell ref="U16:V16"/>
    <mergeCell ref="W16:X16"/>
    <mergeCell ref="A16:B16"/>
    <mergeCell ref="C16:D16"/>
    <mergeCell ref="E16:F16"/>
    <mergeCell ref="G16:H16"/>
    <mergeCell ref="I16:J16"/>
    <mergeCell ref="K16:L16"/>
    <mergeCell ref="S17:T17"/>
    <mergeCell ref="U17:V17"/>
    <mergeCell ref="W17:X17"/>
    <mergeCell ref="Y17:Z17"/>
    <mergeCell ref="A18:B18"/>
    <mergeCell ref="C18:D18"/>
    <mergeCell ref="E18:F18"/>
    <mergeCell ref="G18:H18"/>
    <mergeCell ref="I18:J18"/>
    <mergeCell ref="K18:L18"/>
    <mergeCell ref="C20:D20"/>
    <mergeCell ref="E20:F20"/>
    <mergeCell ref="G20:H20"/>
    <mergeCell ref="I20:J20"/>
    <mergeCell ref="K20:L20"/>
    <mergeCell ref="M20:N20"/>
    <mergeCell ref="Y18:Z18"/>
    <mergeCell ref="A19:B19"/>
    <mergeCell ref="C19:D19"/>
    <mergeCell ref="E19:F19"/>
    <mergeCell ref="G19:H19"/>
    <mergeCell ref="I19:J19"/>
    <mergeCell ref="K19:L19"/>
    <mergeCell ref="M19:N19"/>
    <mergeCell ref="O19:P19"/>
    <mergeCell ref="Q19:R19"/>
    <mergeCell ref="M18:N18"/>
    <mergeCell ref="O18:P18"/>
    <mergeCell ref="Q18:R18"/>
    <mergeCell ref="S18:T18"/>
    <mergeCell ref="U18:V18"/>
    <mergeCell ref="W18:X18"/>
    <mergeCell ref="O20:P20"/>
    <mergeCell ref="Q20:R20"/>
    <mergeCell ref="S20:T20"/>
    <mergeCell ref="U20:V20"/>
    <mergeCell ref="W20:X20"/>
    <mergeCell ref="Y20:Z20"/>
    <mergeCell ref="S19:T19"/>
    <mergeCell ref="U19:V19"/>
    <mergeCell ref="W19:X19"/>
    <mergeCell ref="Y19:Z19"/>
    <mergeCell ref="Y21:Z21"/>
    <mergeCell ref="A22:B22"/>
    <mergeCell ref="C22:D22"/>
    <mergeCell ref="E22:F22"/>
    <mergeCell ref="G22:H22"/>
    <mergeCell ref="I22:J22"/>
    <mergeCell ref="K22:L22"/>
    <mergeCell ref="M22:N22"/>
    <mergeCell ref="O22:P22"/>
    <mergeCell ref="Q22:R22"/>
    <mergeCell ref="M21:N21"/>
    <mergeCell ref="O21:P21"/>
    <mergeCell ref="Q21:R21"/>
    <mergeCell ref="S21:T21"/>
    <mergeCell ref="U21:V21"/>
    <mergeCell ref="W21:X21"/>
    <mergeCell ref="A21:B21"/>
    <mergeCell ref="C21:D21"/>
    <mergeCell ref="E21:F21"/>
    <mergeCell ref="G21:H21"/>
    <mergeCell ref="I21:J21"/>
    <mergeCell ref="K21:L21"/>
    <mergeCell ref="S22:T22"/>
    <mergeCell ref="U22:V22"/>
    <mergeCell ref="W22:X22"/>
    <mergeCell ref="Y22:Z22"/>
    <mergeCell ref="A23:B23"/>
    <mergeCell ref="C23:D23"/>
    <mergeCell ref="E23:F23"/>
    <mergeCell ref="G23:H23"/>
    <mergeCell ref="I23:J23"/>
    <mergeCell ref="K23:L23"/>
    <mergeCell ref="C25:D25"/>
    <mergeCell ref="E25:F25"/>
    <mergeCell ref="G25:H25"/>
    <mergeCell ref="I25:J25"/>
    <mergeCell ref="K25:L25"/>
    <mergeCell ref="M25:N25"/>
    <mergeCell ref="Y23:Z23"/>
    <mergeCell ref="A24:B24"/>
    <mergeCell ref="C24:D24"/>
    <mergeCell ref="E24:F24"/>
    <mergeCell ref="G24:H24"/>
    <mergeCell ref="I24:J24"/>
    <mergeCell ref="K24:L24"/>
    <mergeCell ref="M24:N24"/>
    <mergeCell ref="O24:P24"/>
    <mergeCell ref="Q24:R24"/>
    <mergeCell ref="M23:N23"/>
    <mergeCell ref="O23:P23"/>
    <mergeCell ref="Q23:R23"/>
    <mergeCell ref="S23:T23"/>
    <mergeCell ref="U23:V23"/>
    <mergeCell ref="W23:X23"/>
    <mergeCell ref="O25:P25"/>
    <mergeCell ref="Q25:R25"/>
    <mergeCell ref="S25:T25"/>
    <mergeCell ref="U25:V25"/>
    <mergeCell ref="W25:X25"/>
    <mergeCell ref="Y25:Z25"/>
    <mergeCell ref="S24:T24"/>
    <mergeCell ref="U24:V24"/>
    <mergeCell ref="W24:X24"/>
    <mergeCell ref="Y24:Z24"/>
    <mergeCell ref="Y26:Z26"/>
    <mergeCell ref="A27:B27"/>
    <mergeCell ref="C27:D27"/>
    <mergeCell ref="E27:F27"/>
    <mergeCell ref="G27:H27"/>
    <mergeCell ref="I27:J27"/>
    <mergeCell ref="K27:L27"/>
    <mergeCell ref="M27:N27"/>
    <mergeCell ref="O27:P27"/>
    <mergeCell ref="Q27:R27"/>
    <mergeCell ref="M26:N26"/>
    <mergeCell ref="O26:P26"/>
    <mergeCell ref="Q26:R26"/>
    <mergeCell ref="S26:T26"/>
    <mergeCell ref="U26:V26"/>
    <mergeCell ref="W26:X26"/>
    <mergeCell ref="A26:B26"/>
    <mergeCell ref="C26:D26"/>
    <mergeCell ref="E26:F26"/>
    <mergeCell ref="G26:H26"/>
    <mergeCell ref="I26:J26"/>
    <mergeCell ref="K26:L26"/>
    <mergeCell ref="S27:T27"/>
    <mergeCell ref="U27:V27"/>
    <mergeCell ref="W27:X27"/>
    <mergeCell ref="Y27:Z27"/>
    <mergeCell ref="A28:B28"/>
    <mergeCell ref="C28:D28"/>
    <mergeCell ref="E28:F28"/>
    <mergeCell ref="G28:H28"/>
    <mergeCell ref="I28:J28"/>
    <mergeCell ref="K28:L28"/>
    <mergeCell ref="C30:D30"/>
    <mergeCell ref="E30:F30"/>
    <mergeCell ref="G30:H30"/>
    <mergeCell ref="I30:J30"/>
    <mergeCell ref="K30:L30"/>
    <mergeCell ref="M30:N30"/>
    <mergeCell ref="Y28:Z28"/>
    <mergeCell ref="A29:B29"/>
    <mergeCell ref="C29:D29"/>
    <mergeCell ref="E29:F29"/>
    <mergeCell ref="G29:H29"/>
    <mergeCell ref="I29:J29"/>
    <mergeCell ref="K29:L29"/>
    <mergeCell ref="M29:N29"/>
    <mergeCell ref="O29:P29"/>
    <mergeCell ref="Q29:R29"/>
    <mergeCell ref="M28:N28"/>
    <mergeCell ref="O28:P28"/>
    <mergeCell ref="Q28:R28"/>
    <mergeCell ref="S28:T28"/>
    <mergeCell ref="U28:V28"/>
    <mergeCell ref="W28:X28"/>
    <mergeCell ref="O30:P30"/>
    <mergeCell ref="Q30:R30"/>
    <mergeCell ref="S30:T30"/>
    <mergeCell ref="U30:V30"/>
    <mergeCell ref="W30:X30"/>
    <mergeCell ref="Y30:Z30"/>
    <mergeCell ref="S29:T29"/>
    <mergeCell ref="U29:V29"/>
    <mergeCell ref="W29:X29"/>
    <mergeCell ref="Y29:Z29"/>
    <mergeCell ref="Y31:Z31"/>
    <mergeCell ref="A32:B32"/>
    <mergeCell ref="C32:D32"/>
    <mergeCell ref="E32:F32"/>
    <mergeCell ref="G32:H32"/>
    <mergeCell ref="I32:J32"/>
    <mergeCell ref="K32:L32"/>
    <mergeCell ref="M32:N32"/>
    <mergeCell ref="O32:P32"/>
    <mergeCell ref="Q32:R32"/>
    <mergeCell ref="M31:N31"/>
    <mergeCell ref="O31:P31"/>
    <mergeCell ref="Q31:R31"/>
    <mergeCell ref="S31:T31"/>
    <mergeCell ref="U31:V31"/>
    <mergeCell ref="W31:X31"/>
    <mergeCell ref="A31:B31"/>
    <mergeCell ref="C31:D31"/>
    <mergeCell ref="E31:F31"/>
    <mergeCell ref="G31:H31"/>
    <mergeCell ref="I31:J31"/>
    <mergeCell ref="K31:L31"/>
    <mergeCell ref="S32:T32"/>
    <mergeCell ref="U32:V32"/>
    <mergeCell ref="W32:X32"/>
    <mergeCell ref="Y32:Z32"/>
    <mergeCell ref="A33:B33"/>
    <mergeCell ref="C33:D33"/>
    <mergeCell ref="E33:F33"/>
    <mergeCell ref="G33:H33"/>
    <mergeCell ref="I33:J33"/>
    <mergeCell ref="K33:L33"/>
    <mergeCell ref="Y33:Z33"/>
    <mergeCell ref="A34:B34"/>
    <mergeCell ref="C34:D34"/>
    <mergeCell ref="E34:F34"/>
    <mergeCell ref="G34:H34"/>
    <mergeCell ref="I34:J34"/>
    <mergeCell ref="K34:L34"/>
    <mergeCell ref="M34:N34"/>
    <mergeCell ref="O34:P34"/>
    <mergeCell ref="Q34:R34"/>
    <mergeCell ref="M33:N33"/>
    <mergeCell ref="O33:P33"/>
    <mergeCell ref="Q33:R33"/>
    <mergeCell ref="S33:T33"/>
    <mergeCell ref="U33:V33"/>
    <mergeCell ref="W33:X33"/>
    <mergeCell ref="A36:F36"/>
    <mergeCell ref="G36:J36"/>
    <mergeCell ref="K36:N36"/>
    <mergeCell ref="O36:R36"/>
    <mergeCell ref="S36:V36"/>
    <mergeCell ref="W36:Z36"/>
    <mergeCell ref="S34:T34"/>
    <mergeCell ref="U34:V34"/>
    <mergeCell ref="W34:X34"/>
    <mergeCell ref="Y34:Z34"/>
    <mergeCell ref="A35:F35"/>
    <mergeCell ref="G35:Z35"/>
    <mergeCell ref="A38:F38"/>
    <mergeCell ref="H38:I38"/>
    <mergeCell ref="L38:M38"/>
    <mergeCell ref="P38:Q38"/>
    <mergeCell ref="T38:U38"/>
    <mergeCell ref="X38:Y38"/>
    <mergeCell ref="A37:F37"/>
    <mergeCell ref="G37:J37"/>
    <mergeCell ref="K37:N37"/>
    <mergeCell ref="O37:R37"/>
    <mergeCell ref="S37:V37"/>
    <mergeCell ref="W37:Z37"/>
    <mergeCell ref="A40:F40"/>
    <mergeCell ref="H40:I40"/>
    <mergeCell ref="L40:M40"/>
    <mergeCell ref="P40:Q40"/>
    <mergeCell ref="T40:U40"/>
    <mergeCell ref="X40:Y40"/>
    <mergeCell ref="A39:F39"/>
    <mergeCell ref="H39:I39"/>
    <mergeCell ref="L39:M39"/>
    <mergeCell ref="P39:Q39"/>
    <mergeCell ref="T39:U39"/>
    <mergeCell ref="X39:Y39"/>
    <mergeCell ref="A42:F42"/>
    <mergeCell ref="H42:I42"/>
    <mergeCell ref="L42:M42"/>
    <mergeCell ref="P42:Q42"/>
    <mergeCell ref="T42:U42"/>
    <mergeCell ref="X42:Y42"/>
    <mergeCell ref="A41:F41"/>
    <mergeCell ref="H41:I41"/>
    <mergeCell ref="L41:M41"/>
    <mergeCell ref="P41:Q41"/>
    <mergeCell ref="T41:U41"/>
    <mergeCell ref="X41:Y41"/>
    <mergeCell ref="A44:F44"/>
    <mergeCell ref="H44:I44"/>
    <mergeCell ref="L44:M44"/>
    <mergeCell ref="P44:Q44"/>
    <mergeCell ref="T44:U44"/>
    <mergeCell ref="X44:Y44"/>
    <mergeCell ref="A43:F43"/>
    <mergeCell ref="H43:I43"/>
    <mergeCell ref="L43:M43"/>
    <mergeCell ref="P43:Q43"/>
    <mergeCell ref="T43:U43"/>
    <mergeCell ref="X43:Y43"/>
    <mergeCell ref="A47:Z47"/>
    <mergeCell ref="A46:F46"/>
    <mergeCell ref="H46:I46"/>
    <mergeCell ref="L46:M46"/>
    <mergeCell ref="P46:Q46"/>
    <mergeCell ref="T46:U46"/>
    <mergeCell ref="X46:Y46"/>
    <mergeCell ref="A45:F45"/>
    <mergeCell ref="H45:I45"/>
    <mergeCell ref="L45:M45"/>
    <mergeCell ref="P45:Q45"/>
    <mergeCell ref="T45:U45"/>
    <mergeCell ref="X45:Y45"/>
  </mergeCells>
  <conditionalFormatting sqref="K21:L21 Q21:R21 W21:X21 E21:F23 Q31:R31 W31:X31 P39:Q39 T39:U39 X39:Y39 E26:F28 E31:F33">
    <cfRule type="cellIs" dxfId="13" priority="14" operator="equal">
      <formula>"ERROR"</formula>
    </cfRule>
  </conditionalFormatting>
  <conditionalFormatting sqref="E16:F18 K11:L13 K16:L18 Q11:R13 Q16:R18 W11:X13 W16:X18">
    <cfRule type="containsBlanks" dxfId="12" priority="13">
      <formula>LEN(TRIM(E11))=0</formula>
    </cfRule>
  </conditionalFormatting>
  <conditionalFormatting sqref="E11:F13">
    <cfRule type="containsBlanks" dxfId="11" priority="12">
      <formula>LEN(TRIM(E11))=0</formula>
    </cfRule>
  </conditionalFormatting>
  <conditionalFormatting sqref="H39:I39">
    <cfRule type="containsBlanks" dxfId="10" priority="11">
      <formula>LEN(TRIM(H39))=0</formula>
    </cfRule>
  </conditionalFormatting>
  <conditionalFormatting sqref="H40:I40">
    <cfRule type="containsBlanks" dxfId="9" priority="10">
      <formula>LEN(TRIM(H40))=0</formula>
    </cfRule>
  </conditionalFormatting>
  <conditionalFormatting sqref="H41:I41">
    <cfRule type="containsBlanks" dxfId="8" priority="9">
      <formula>LEN(TRIM(H41))=0</formula>
    </cfRule>
  </conditionalFormatting>
  <conditionalFormatting sqref="L39:M39">
    <cfRule type="containsBlanks" dxfId="7" priority="8">
      <formula>LEN(TRIM(L39))=0</formula>
    </cfRule>
  </conditionalFormatting>
  <conditionalFormatting sqref="H42:I45">
    <cfRule type="containsBlanks" dxfId="6" priority="7">
      <formula>LEN(TRIM(H42))=0</formula>
    </cfRule>
  </conditionalFormatting>
  <conditionalFormatting sqref="L40:M40">
    <cfRule type="containsBlanks" dxfId="5" priority="6">
      <formula>LEN(TRIM(L40))=0</formula>
    </cfRule>
  </conditionalFormatting>
  <conditionalFormatting sqref="L41:M41">
    <cfRule type="containsBlanks" dxfId="4" priority="5">
      <formula>LEN(TRIM(L41))=0</formula>
    </cfRule>
  </conditionalFormatting>
  <conditionalFormatting sqref="L42:M42">
    <cfRule type="containsBlanks" dxfId="3" priority="4">
      <formula>LEN(TRIM(L42))=0</formula>
    </cfRule>
  </conditionalFormatting>
  <conditionalFormatting sqref="L43:M43">
    <cfRule type="containsBlanks" dxfId="2" priority="3">
      <formula>LEN(TRIM(L43))=0</formula>
    </cfRule>
  </conditionalFormatting>
  <conditionalFormatting sqref="L44:M44">
    <cfRule type="containsBlanks" dxfId="1" priority="2">
      <formula>LEN(TRIM(L44))=0</formula>
    </cfRule>
  </conditionalFormatting>
  <conditionalFormatting sqref="L45:M45">
    <cfRule type="containsBlanks" dxfId="0" priority="1">
      <formula>LEN(TRIM(L45))=0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Formatted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Dugan</dc:creator>
  <cp:lastModifiedBy>Lindsay Dugan</cp:lastModifiedBy>
  <dcterms:created xsi:type="dcterms:W3CDTF">2024-11-14T18:32:21Z</dcterms:created>
  <dcterms:modified xsi:type="dcterms:W3CDTF">2024-11-14T18:33:45Z</dcterms:modified>
</cp:coreProperties>
</file>