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1.usc.ao.dcn\AO-OCP\data\common\DPS\JDAO\Quarter Close Tables\Judicial Panel on Multidistrict Litigation\Sep 2024\"/>
    </mc:Choice>
  </mc:AlternateContent>
  <xr:revisionPtr revIDLastSave="0" documentId="13_ncr:1_{77CD224F-3816-495B-805B-B76E00D1DB93}" xr6:coauthVersionLast="47" xr6:coauthVersionMax="47" xr10:uidLastSave="{00000000-0000-0000-0000-000000000000}"/>
  <bookViews>
    <workbookView xWindow="-28920" yWindow="-120" windowWidth="29040" windowHeight="15720" xr2:uid="{C41B0E31-30E6-45B6-A679-0D74EFB2DE5E}"/>
  </bookViews>
  <sheets>
    <sheet name="Formatted Report - S-2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6" i="1"/>
  <c r="E6" i="1"/>
  <c r="H6" i="1"/>
  <c r="K6" i="1"/>
  <c r="N6" i="1"/>
  <c r="F8" i="1"/>
  <c r="C9" i="1"/>
  <c r="F9" i="1"/>
  <c r="L9" i="1"/>
  <c r="L8" i="1" s="1"/>
  <c r="O9" i="1"/>
  <c r="C10" i="1"/>
  <c r="I10" i="1" s="1"/>
  <c r="F10" i="1"/>
  <c r="G10" i="1"/>
  <c r="L10" i="1"/>
  <c r="O10" i="1"/>
  <c r="F12" i="1"/>
  <c r="C13" i="1"/>
  <c r="C12" i="1" s="1"/>
  <c r="F13" i="1"/>
  <c r="I13" i="1"/>
  <c r="L13" i="1"/>
  <c r="L12" i="1" s="1"/>
  <c r="O13" i="1"/>
  <c r="C14" i="1"/>
  <c r="F14" i="1"/>
  <c r="I14" i="1"/>
  <c r="L14" i="1"/>
  <c r="O14" i="1"/>
  <c r="C17" i="1"/>
  <c r="A20" i="1"/>
  <c r="I12" i="1" l="1"/>
  <c r="I9" i="1"/>
  <c r="I17" i="1"/>
  <c r="O17" i="1" s="1"/>
  <c r="O12" i="1"/>
  <c r="C8" i="1"/>
  <c r="I8" i="1" s="1"/>
  <c r="O8" i="1" s="1"/>
</calcChain>
</file>

<file path=xl/sharedStrings.xml><?xml version="1.0" encoding="utf-8"?>
<sst xmlns="http://schemas.openxmlformats.org/spreadsheetml/2006/main" count="14" uniqueCount="13">
  <si>
    <t>NOTE This report is furnished by the United States Judicial Panel on Multidistrict Litigation.</t>
  </si>
  <si>
    <t>-</t>
  </si>
  <si>
    <t xml:space="preserve">     Subjected to 28 U.S.C. § 1407 Proceedings</t>
  </si>
  <si>
    <t>Total Actions Presently Pending and</t>
  </si>
  <si>
    <t>Actions Remanded by the Panel</t>
  </si>
  <si>
    <t>Actions Terminated by Transferee Courts</t>
  </si>
  <si>
    <t>Total Terminations</t>
  </si>
  <si>
    <t>Actions Originally Filed in Transferee Districts</t>
  </si>
  <si>
    <t>Actions Transferred</t>
  </si>
  <si>
    <t xml:space="preserve">     28 U.S.C. § 1407 Proceedings</t>
  </si>
  <si>
    <t xml:space="preserve">Total Actions Subjected to </t>
  </si>
  <si>
    <t>Cumulative Summary of Multidistrict Litigation</t>
  </si>
  <si>
    <t>Table S-20.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</si>
</sst>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0" xfId="0" quotePrefix="1" applyFont="1"/>
    <xf numFmtId="164" fontId="2" fillId="0" borderId="0" xfId="1" applyNumberFormat="1" applyFont="1"/>
    <xf numFmtId="164" fontId="2" fillId="0" borderId="1" xfId="1" applyNumberFormat="1" applyFont="1" applyBorder="1"/>
    <xf numFmtId="0" fontId="2" fillId="0" borderId="1" xfId="0" applyFont="1" applyBorder="1"/>
    <xf numFmtId="164" fontId="3" fillId="0" borderId="0" xfId="1" applyNumberFormat="1" applyFont="1"/>
    <xf numFmtId="164" fontId="3" fillId="0" borderId="0" xfId="1" applyNumberFormat="1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0</xdr:row>
      <xdr:rowOff>47625</xdr:rowOff>
    </xdr:from>
    <xdr:to>
      <xdr:col>15</xdr:col>
      <xdr:colOff>299083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E1A98816-EBFB-4762-99FF-57073FB6548E}"/>
            </a:ext>
          </a:extLst>
        </xdr:cNvPr>
        <xdr:cNvCxnSpPr/>
      </xdr:nvCxnSpPr>
      <xdr:spPr>
        <a:xfrm>
          <a:off x="28573" y="47625"/>
          <a:ext cx="9414510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PMDL%20Tables%20S-19%20and%20S-20%20Template%20v1-8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 History"/>
      <sheetName val="Instructions"/>
      <sheetName val="Formatted Report - S-19"/>
      <sheetName val="Formatted Report - S-20"/>
      <sheetName val="Excel Report - S-19"/>
      <sheetName val="Raw Data - S-19"/>
      <sheetName val="Raw Data - S-20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C8" t="str">
            <v>Sept. 30, 2022</v>
          </cell>
          <cell r="D8" t="str">
            <v>Sept. 30, 2023*</v>
          </cell>
          <cell r="E8" t="str">
            <v>Sept. 30, 2023</v>
          </cell>
          <cell r="F8" t="str">
            <v>Sept. 30, 2024</v>
          </cell>
          <cell r="G8" t="str">
            <v>Sept. 30, 2024</v>
          </cell>
        </row>
        <row r="10">
          <cell r="B10" t="str">
            <v>Total Actions Subjected to</v>
          </cell>
        </row>
        <row r="11">
          <cell r="B11" t="str">
            <v xml:space="preserve">     28 U.S.C. § 1407 Proceedings</v>
          </cell>
          <cell r="C11">
            <v>1113872</v>
          </cell>
          <cell r="D11">
            <v>81960</v>
          </cell>
          <cell r="E11">
            <v>1195832</v>
          </cell>
          <cell r="F11">
            <v>75570</v>
          </cell>
          <cell r="G11">
            <v>1271402</v>
          </cell>
        </row>
        <row r="13">
          <cell r="B13" t="str">
            <v>Actions Transferred</v>
          </cell>
          <cell r="C13">
            <v>283917</v>
          </cell>
          <cell r="D13">
            <v>2334</v>
          </cell>
          <cell r="E13">
            <v>286251</v>
          </cell>
          <cell r="F13">
            <v>1987</v>
          </cell>
          <cell r="G13">
            <v>288238</v>
          </cell>
        </row>
        <row r="14">
          <cell r="B14" t="str">
            <v>Actions Originally Filed</v>
          </cell>
        </row>
        <row r="15">
          <cell r="B15" t="str">
            <v xml:space="preserve">     in Transferee Districts</v>
          </cell>
          <cell r="C15">
            <v>829955</v>
          </cell>
          <cell r="D15">
            <v>79626</v>
          </cell>
          <cell r="E15">
            <v>909581</v>
          </cell>
          <cell r="F15">
            <v>73583</v>
          </cell>
          <cell r="G15">
            <v>983164</v>
          </cell>
        </row>
        <row r="17">
          <cell r="B17" t="str">
            <v>Total Terminations</v>
          </cell>
          <cell r="C17">
            <v>731086</v>
          </cell>
          <cell r="D17">
            <v>60865</v>
          </cell>
          <cell r="E17">
            <v>791951</v>
          </cell>
          <cell r="F17">
            <v>152912</v>
          </cell>
          <cell r="G17">
            <v>944863</v>
          </cell>
        </row>
        <row r="18">
          <cell r="B18" t="str">
            <v>Actions Terminated by Transferee Courts</v>
          </cell>
          <cell r="C18">
            <v>713712</v>
          </cell>
          <cell r="D18">
            <v>60766</v>
          </cell>
          <cell r="E18">
            <v>774478</v>
          </cell>
          <cell r="F18">
            <v>152764</v>
          </cell>
          <cell r="G18">
            <v>927242</v>
          </cell>
        </row>
        <row r="19">
          <cell r="B19" t="str">
            <v>Actions Remanded by the Panel</v>
          </cell>
          <cell r="C19">
            <v>17374</v>
          </cell>
          <cell r="D19">
            <v>99</v>
          </cell>
          <cell r="E19">
            <v>17473</v>
          </cell>
          <cell r="F19">
            <v>148</v>
          </cell>
          <cell r="G19">
            <v>17621</v>
          </cell>
        </row>
        <row r="21">
          <cell r="B21" t="str">
            <v>Total Actions Presently Pending and</v>
          </cell>
        </row>
        <row r="22">
          <cell r="B22" t="str">
            <v>Subjected to 28 U.S.C. § 1407 Proceedings</v>
          </cell>
          <cell r="C22">
            <v>382786</v>
          </cell>
          <cell r="D22">
            <v>0</v>
          </cell>
          <cell r="E22">
            <v>403881</v>
          </cell>
          <cell r="F22">
            <v>0</v>
          </cell>
          <cell r="G22">
            <v>326539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6F6BA-CD08-428A-B2A0-91910554CAB0}">
  <dimension ref="A1:P20"/>
  <sheetViews>
    <sheetView showGridLines="0" tabSelected="1" workbookViewId="0">
      <selection activeCell="Y18" sqref="Y18"/>
    </sheetView>
  </sheetViews>
  <sheetFormatPr defaultColWidth="9.140625" defaultRowHeight="11.25" x14ac:dyDescent="0.2"/>
  <cols>
    <col min="1" max="1" width="34.42578125" style="1" customWidth="1"/>
    <col min="2" max="2" width="2.7109375" style="1" customWidth="1"/>
    <col min="3" max="3" width="10.7109375" style="1" customWidth="1"/>
    <col min="4" max="5" width="2.7109375" style="1" customWidth="1"/>
    <col min="6" max="6" width="10.7109375" style="1" customWidth="1"/>
    <col min="7" max="8" width="2.7109375" style="1" customWidth="1"/>
    <col min="9" max="9" width="10.7109375" style="1" customWidth="1"/>
    <col min="10" max="11" width="2.7109375" style="1" customWidth="1"/>
    <col min="12" max="12" width="10.7109375" style="1" customWidth="1"/>
    <col min="13" max="14" width="2.7109375" style="1" customWidth="1"/>
    <col min="15" max="15" width="10.7109375" style="1" customWidth="1"/>
    <col min="16" max="16" width="2.7109375" style="1" customWidth="1"/>
    <col min="17" max="16384" width="9.140625" style="1"/>
  </cols>
  <sheetData>
    <row r="1" spans="1:16" ht="13.5" customHeight="1" x14ac:dyDescent="0.2"/>
    <row r="2" spans="1:16" ht="13.5" customHeight="1" x14ac:dyDescent="0.2">
      <c r="A2" s="12" t="s">
        <v>12</v>
      </c>
    </row>
    <row r="3" spans="1:16" ht="13.5" customHeight="1" x14ac:dyDescent="0.2">
      <c r="A3" s="12" t="s">
        <v>11</v>
      </c>
    </row>
    <row r="4" spans="1:16" ht="13.5" customHeight="1" x14ac:dyDescent="0.2">
      <c r="A4" s="12" t="str">
        <f>"During the 12-Month Periods Ending September 30, "&amp;RIGHT('[1]Raw Data - S-20'!C8,4)&amp;" Through "&amp;RIGHT('[1]Raw Data - S-20'!G8,4)</f>
        <v>During the 12-Month Periods Ending September 30, 2022 Through 2024</v>
      </c>
    </row>
    <row r="5" spans="1:16" ht="13.5" customHeight="1" x14ac:dyDescent="0.2"/>
    <row r="6" spans="1:16" ht="45" customHeight="1" x14ac:dyDescent="0.2">
      <c r="A6" s="11"/>
      <c r="B6" s="13" t="str">
        <f>"Cumulative
Totals as of
Sept. 30, "&amp;RIGHT('[1]Raw Data - S-20'!C8,4)</f>
        <v>Cumulative
Totals as of
Sept. 30, 2022</v>
      </c>
      <c r="C6" s="14"/>
      <c r="D6" s="15"/>
      <c r="E6" s="13" t="str">
        <f>IF(LEN('[1]Raw Data - S-20'!D8)=15,"12-Months
Ending
Sept. 30, "&amp;LEFT(RIGHT('[1]Raw Data - S-20'!D8,5),4),"12-Months
Ending
Sept. 30, "&amp;RIGHT('[1]Raw Data - S-20'!D8,4))</f>
        <v>12-Months
Ending
Sept. 30, 2023</v>
      </c>
      <c r="F6" s="14"/>
      <c r="G6" s="15"/>
      <c r="H6" s="13" t="str">
        <f>"Cumulative
Totals as of
Sept. 30, "&amp;RIGHT('[1]Raw Data - S-20'!E8,4)</f>
        <v>Cumulative
Totals as of
Sept. 30, 2023</v>
      </c>
      <c r="I6" s="14"/>
      <c r="J6" s="15"/>
      <c r="K6" s="13" t="str">
        <f>"12-Months
Ending
Sept. 30, "&amp;RIGHT('[1]Raw Data - S-20'!F8,4)</f>
        <v>12-Months
Ending
Sept. 30, 2024</v>
      </c>
      <c r="L6" s="14"/>
      <c r="M6" s="15"/>
      <c r="N6" s="13" t="str">
        <f>"Cumulative
Totals as of
Sept. 30, "&amp;RIGHT('[1]Raw Data - S-20'!G8,4)</f>
        <v>Cumulative
Totals as of
Sept. 30, 2024</v>
      </c>
      <c r="O6" s="14"/>
      <c r="P6" s="15"/>
    </row>
    <row r="7" spans="1:16" ht="21" customHeight="1" x14ac:dyDescent="0.2">
      <c r="A7" s="10" t="s">
        <v>10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ht="13.5" customHeight="1" x14ac:dyDescent="0.2">
      <c r="A8" s="8" t="s">
        <v>9</v>
      </c>
      <c r="C8" s="6">
        <f>IF(VLOOKUP($A8,'[1]Raw Data - S-20'!$B$10:$G$22,2,FALSE)-SUM(C9:C10)=0,SUM(C9:C10),"ERROR")</f>
        <v>1113872</v>
      </c>
      <c r="D8" s="3"/>
      <c r="E8" s="3"/>
      <c r="F8" s="6">
        <f>IF(VLOOKUP($A8,'[1]Raw Data - S-20'!$B$10:$G$22,3,FALSE)-SUM(F9:F10)=0,SUM(F9:F10),"ERROR")</f>
        <v>81960</v>
      </c>
      <c r="G8" s="3"/>
      <c r="H8" s="3"/>
      <c r="I8" s="6">
        <f>IF(VLOOKUP($A8,'[1]Raw Data - S-20'!$B$10:$G$22,4,FALSE)-SUM(I9:I10)=0,IF(VLOOKUP($A8,'[1]Raw Data - S-20'!$B$10:$G$22,4,FALSE)-SUM(C8,F8)=0,SUM(C8,F8),"ERROR"),"ERROR")</f>
        <v>1195832</v>
      </c>
      <c r="J8" s="3"/>
      <c r="K8" s="3"/>
      <c r="L8" s="6">
        <f>IF(VLOOKUP($A8,'[1]Raw Data - S-20'!$B$10:$G$22,5,FALSE)-SUM(L9:L10)=0,SUM(L9:L10),"ERROR")</f>
        <v>75570</v>
      </c>
      <c r="M8" s="3"/>
      <c r="N8" s="3"/>
      <c r="O8" s="6">
        <f>IF(VLOOKUP($A8,'[1]Raw Data - S-20'!$B$10:$G$22,6,FALSE)-SUM(O9:O10)=0,IF(VLOOKUP($A8,'[1]Raw Data - S-20'!$B$10:$G$22,6,FALSE)-SUM(I8,L8)=0,SUM(I8,L8),"ERROR"),"ERROR")</f>
        <v>1271402</v>
      </c>
      <c r="P8" s="3"/>
    </row>
    <row r="9" spans="1:16" ht="13.5" customHeight="1" x14ac:dyDescent="0.2">
      <c r="A9" s="1" t="s">
        <v>8</v>
      </c>
      <c r="C9" s="3">
        <f>VLOOKUP($A9,'[1]Raw Data - S-20'!$B$10:$G$22,2,FALSE)</f>
        <v>283917</v>
      </c>
      <c r="D9" s="3"/>
      <c r="E9" s="3"/>
      <c r="F9" s="3">
        <f>VLOOKUP($A9,'[1]Raw Data - S-20'!$B$10:$G$22,3,FALSE)</f>
        <v>2334</v>
      </c>
      <c r="G9" s="3"/>
      <c r="H9" s="3"/>
      <c r="I9" s="3">
        <f>IF(VLOOKUP($A9,'[1]Raw Data - S-20'!$B$10:$G$22,4,FALSE)-SUM(C9,F9)=0,SUM(C9,F9),"ERROR")</f>
        <v>286251</v>
      </c>
      <c r="J9" s="3"/>
      <c r="K9" s="3"/>
      <c r="L9" s="3">
        <f>VLOOKUP($A9,'[1]Raw Data - S-20'!$B$10:$G$22,5,FALSE)</f>
        <v>1987</v>
      </c>
      <c r="M9" s="3"/>
      <c r="N9" s="3"/>
      <c r="O9" s="3">
        <f>VLOOKUP($A9,'[1]Raw Data - S-20'!$B$10:$G$22,6,FALSE)</f>
        <v>288238</v>
      </c>
      <c r="P9" s="3"/>
    </row>
    <row r="10" spans="1:16" ht="13.5" customHeight="1" x14ac:dyDescent="0.2">
      <c r="A10" s="1" t="s">
        <v>7</v>
      </c>
      <c r="C10" s="3">
        <f>VLOOKUP("     in Transferee Districts",'[1]Raw Data - S-20'!$B$10:$G$22,2,FALSE)</f>
        <v>829955</v>
      </c>
      <c r="D10" s="3"/>
      <c r="E10" s="3"/>
      <c r="F10" s="3">
        <f>VLOOKUP("     in Transferee Districts",'[1]Raw Data - S-20'!$B$10:$G$22,3,FALSE)</f>
        <v>79626</v>
      </c>
      <c r="G10" s="3" t="str">
        <f>IF(LEN('[1]Raw Data - S-20'!D8)=15,CHAR(185)," ")</f>
        <v>¹</v>
      </c>
      <c r="H10" s="3"/>
      <c r="I10" s="3">
        <f>IF(VLOOKUP("     in Transferee Districts",'[1]Raw Data - S-20'!$B$10:$G$22,4,FALSE)-SUM(C10,F10)=0,SUM(C10,F10),"ERROR")</f>
        <v>909581</v>
      </c>
      <c r="J10" s="3"/>
      <c r="K10" s="3"/>
      <c r="L10" s="3">
        <f>VLOOKUP("     in Transferee Districts",'[1]Raw Data - S-20'!$B$10:$G$22,5,FALSE)</f>
        <v>73583</v>
      </c>
      <c r="M10" s="3"/>
      <c r="N10" s="3"/>
      <c r="O10" s="3">
        <f>VLOOKUP("     in Transferee Districts",'[1]Raw Data - S-20'!$B$10:$G$22,6,FALSE)</f>
        <v>983164</v>
      </c>
      <c r="P10" s="3"/>
    </row>
    <row r="11" spans="1:16" ht="13.5" customHeight="1" x14ac:dyDescent="0.2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13.5" customHeight="1" x14ac:dyDescent="0.2">
      <c r="A12" s="8" t="s">
        <v>6</v>
      </c>
      <c r="C12" s="6">
        <f>IF(VLOOKUP($A12,'[1]Raw Data - S-20'!$B$10:$G$22,2,FALSE)-SUM(C13:C14)=0,SUM(C13:C14),"ERROR")</f>
        <v>731086</v>
      </c>
      <c r="D12" s="3"/>
      <c r="E12" s="3"/>
      <c r="F12" s="6">
        <f>IF(VLOOKUP($A12,'[1]Raw Data - S-20'!$B$10:$G$22,3,FALSE)-SUM(F13:F14)=0,SUM(F13:F14),"ERROR")</f>
        <v>60865</v>
      </c>
      <c r="G12" s="3"/>
      <c r="H12" s="3"/>
      <c r="I12" s="6">
        <f>IF(VLOOKUP($A12,'[1]Raw Data - S-20'!$B$10:$G$22,4,FALSE)-SUM(I13:I14)=0,IF(VLOOKUP($A12,'[1]Raw Data - S-20'!$B$10:$G$22,4,FALSE)-SUM(C12,F12)=0,SUM(C12,F12),"ERROR"),"ERROR")</f>
        <v>791951</v>
      </c>
      <c r="J12" s="3"/>
      <c r="K12" s="3"/>
      <c r="L12" s="6">
        <f>IF(VLOOKUP($A12,'[1]Raw Data - S-20'!$B$10:$G$22,5,FALSE)-SUM(L13:L14)=0,SUM(L13:L14),"ERROR")</f>
        <v>152912</v>
      </c>
      <c r="M12" s="3"/>
      <c r="N12" s="3"/>
      <c r="O12" s="6">
        <f>IF(VLOOKUP($A12,'[1]Raw Data - S-20'!$B$10:$G$22,6,FALSE)-SUM(O13:O14)=0,IF(VLOOKUP($A12,'[1]Raw Data - S-20'!$B$10:$G$22,6,FALSE)-SUM(I12,L12)=0,SUM(I12,L12),"ERROR"),"ERROR")</f>
        <v>944863</v>
      </c>
      <c r="P12" s="3"/>
    </row>
    <row r="13" spans="1:16" ht="13.5" customHeight="1" x14ac:dyDescent="0.2">
      <c r="A13" s="9" t="s">
        <v>5</v>
      </c>
      <c r="C13" s="3">
        <f>VLOOKUP($A13,'[1]Raw Data - S-20'!$B$10:$G$22,2,FALSE)</f>
        <v>713712</v>
      </c>
      <c r="D13" s="3"/>
      <c r="E13" s="3"/>
      <c r="F13" s="3">
        <f>VLOOKUP($A13,'[1]Raw Data - S-20'!$B$10:$G$22,3,FALSE)</f>
        <v>60766</v>
      </c>
      <c r="G13" s="3"/>
      <c r="H13" s="3"/>
      <c r="I13" s="3">
        <f>IF(VLOOKUP($A13,'[1]Raw Data - S-20'!$B$10:$G$22,4,FALSE)-SUM(C13,F13)=0,SUM(C13,F13),"ERROR")</f>
        <v>774478</v>
      </c>
      <c r="J13" s="3"/>
      <c r="K13" s="3"/>
      <c r="L13" s="3">
        <f>VLOOKUP($A13,'[1]Raw Data - S-20'!$B$10:$G$22,5,FALSE)</f>
        <v>152764</v>
      </c>
      <c r="M13" s="3"/>
      <c r="N13" s="3"/>
      <c r="O13" s="3">
        <f>VLOOKUP($A13,'[1]Raw Data - S-20'!$B$10:$G$22,6,FALSE)</f>
        <v>927242</v>
      </c>
      <c r="P13" s="6"/>
    </row>
    <row r="14" spans="1:16" ht="13.5" customHeight="1" x14ac:dyDescent="0.2">
      <c r="A14" s="1" t="s">
        <v>4</v>
      </c>
      <c r="C14" s="3">
        <f>VLOOKUP($A14,'[1]Raw Data - S-20'!$B$10:$G$22,2,FALSE)</f>
        <v>17374</v>
      </c>
      <c r="D14" s="3"/>
      <c r="E14" s="3"/>
      <c r="F14" s="3">
        <f>VLOOKUP($A14,'[1]Raw Data - S-20'!$B$10:$G$22,3,FALSE)</f>
        <v>99</v>
      </c>
      <c r="G14" s="3"/>
      <c r="H14" s="3"/>
      <c r="I14" s="3">
        <f>IF(VLOOKUP($A14,'[1]Raw Data - S-20'!$B$10:$G$22,4,FALSE)-SUM(C14,F14)=0,SUM(C14,F14),"ERROR")</f>
        <v>17473</v>
      </c>
      <c r="J14" s="3"/>
      <c r="K14" s="3"/>
      <c r="L14" s="3">
        <f>VLOOKUP($A14,'[1]Raw Data - S-20'!$B$10:$G$22,5,FALSE)</f>
        <v>148</v>
      </c>
      <c r="M14" s="3"/>
      <c r="N14" s="3"/>
      <c r="O14" s="3">
        <f>VLOOKUP($A14,'[1]Raw Data - S-20'!$B$10:$G$22,6,FALSE)</f>
        <v>17621</v>
      </c>
      <c r="P14" s="3"/>
    </row>
    <row r="15" spans="1:16" ht="13.5" customHeight="1" x14ac:dyDescent="0.2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13.5" customHeight="1" x14ac:dyDescent="0.2">
      <c r="A16" s="8" t="s">
        <v>3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13.5" customHeight="1" x14ac:dyDescent="0.2">
      <c r="A17" s="8" t="s">
        <v>2</v>
      </c>
      <c r="C17" s="6">
        <f>VLOOKUP(TRIM($A17),'[1]Raw Data - S-20'!$B$10:$G$22,2,FALSE)</f>
        <v>382786</v>
      </c>
      <c r="D17" s="3"/>
      <c r="E17" s="3"/>
      <c r="F17" s="7" t="s">
        <v>1</v>
      </c>
      <c r="G17" s="3"/>
      <c r="H17" s="3"/>
      <c r="I17" s="6">
        <f>IF(VLOOKUP(TRIM($A17),'[1]Raw Data - S-20'!$B$10:$G$22,4,FALSE)-SUM(C17,F8,-F12)=0,SUM(C17,F8,-F12),"ERROR")</f>
        <v>403881</v>
      </c>
      <c r="J17" s="3"/>
      <c r="K17" s="3"/>
      <c r="L17" s="7" t="s">
        <v>1</v>
      </c>
      <c r="M17" s="3"/>
      <c r="N17" s="3"/>
      <c r="O17" s="6">
        <f>IF(VLOOKUP(TRIM($A17),'[1]Raw Data - S-20'!$B$10:$G$22,6,FALSE)-SUM(I17,L8,-L12)=0,SUM(I17,L8,-L12),"ERROR")</f>
        <v>326539</v>
      </c>
      <c r="P17" s="3"/>
    </row>
    <row r="18" spans="1:16" ht="13.5" customHeight="1" x14ac:dyDescent="0.2">
      <c r="A18" s="5"/>
      <c r="B18" s="5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13.5" customHeight="1" x14ac:dyDescent="0.2">
      <c r="A19" s="1" t="s">
        <v>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x14ac:dyDescent="0.2">
      <c r="A20" s="2" t="str">
        <f>IF(LEN('[1]Raw Data - S-20'!D8)=15,CHAR(185)&amp;" Revised in FY"&amp;RIGHT('[1]Raw Data - S-20'!G8,4)&amp;".","")</f>
        <v>¹ Revised in FY2024.</v>
      </c>
    </row>
  </sheetData>
  <mergeCells count="5">
    <mergeCell ref="H6:J6"/>
    <mergeCell ref="K6:M6"/>
    <mergeCell ref="N6:P6"/>
    <mergeCell ref="B6:D6"/>
    <mergeCell ref="E6:G6"/>
  </mergeCells>
  <conditionalFormatting sqref="C8">
    <cfRule type="cellIs" dxfId="6" priority="7" operator="equal">
      <formula>"ERROR"</formula>
    </cfRule>
  </conditionalFormatting>
  <conditionalFormatting sqref="C12">
    <cfRule type="cellIs" dxfId="5" priority="6" operator="equal">
      <formula>"ERROR"</formula>
    </cfRule>
  </conditionalFormatting>
  <conditionalFormatting sqref="I17 I12:I14 I8:I10">
    <cfRule type="cellIs" dxfId="4" priority="5" operator="equal">
      <formula>"ERROR"</formula>
    </cfRule>
  </conditionalFormatting>
  <conditionalFormatting sqref="F8">
    <cfRule type="cellIs" dxfId="3" priority="4" operator="equal">
      <formula>"ERROR"</formula>
    </cfRule>
  </conditionalFormatting>
  <conditionalFormatting sqref="F12">
    <cfRule type="cellIs" dxfId="2" priority="3" operator="equal">
      <formula>"ERROR"</formula>
    </cfRule>
  </conditionalFormatting>
  <conditionalFormatting sqref="L12 L8">
    <cfRule type="cellIs" dxfId="1" priority="2" operator="equal">
      <formula>"ERROR"</formula>
    </cfRule>
  </conditionalFormatting>
  <conditionalFormatting sqref="O17 O12 O8">
    <cfRule type="cellIs" dxfId="0" priority="1" operator="equal">
      <formula>"ERROR"</formula>
    </cfRule>
  </conditionalFormatting>
  <printOptions horizontalCentered="1"/>
  <pageMargins left="0.5" right="0.2" top="0.5" bottom="0.5" header="0.3" footer="0.3"/>
  <pageSetup orientation="landscape" r:id="rId1"/>
  <headerFooter alignWithMargins="0">
    <oddFooter>&amp;R&amp;"Arial,Regular"&amp;8Page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Formatted Report - S-20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Anjanie Desai</dc:creator>
  <cp:lastModifiedBy>Anjanie Desai</cp:lastModifiedBy>
  <dcterms:created xsi:type="dcterms:W3CDTF">2024-11-18T16:32:28Z</dcterms:created>
  <dcterms:modified xsi:type="dcterms:W3CDTF">2024-11-18T16:58:06Z</dcterms:modified>
</cp:coreProperties>
</file>