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JPML PROGRAM\JPML - September 2022\"/>
    </mc:Choice>
  </mc:AlternateContent>
  <xr:revisionPtr revIDLastSave="0" documentId="8_{94BEBDF0-A383-4BAF-B11D-961449B6A485}" xr6:coauthVersionLast="47" xr6:coauthVersionMax="47" xr10:uidLastSave="{00000000-0000-0000-0000-000000000000}"/>
  <bookViews>
    <workbookView xWindow="-108" yWindow="-108" windowWidth="23256" windowHeight="12576" xr2:uid="{15318BF8-20D4-495A-A969-D18FA3CDFCB9}"/>
  </bookViews>
  <sheets>
    <sheet name="Formatted Report - S-19" sheetId="1" r:id="rId1"/>
  </sheets>
  <externalReferences>
    <externalReference r:id="rId2"/>
  </externalReferences>
  <definedNames>
    <definedName name="_xlnm.Print_Area" localSheetId="0">'Formatted Report - S-19'!$A$1:$K$126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B6" i="1"/>
  <c r="F6" i="1"/>
  <c r="B9" i="1"/>
  <c r="D9" i="1"/>
  <c r="F9" i="1"/>
  <c r="H9" i="1"/>
  <c r="J9" i="1"/>
  <c r="B10" i="1"/>
  <c r="B11" i="1"/>
  <c r="D11" i="1"/>
  <c r="F11" i="1"/>
  <c r="F10" i="1" s="1"/>
  <c r="H11" i="1"/>
  <c r="H10" i="1" s="1"/>
  <c r="J11" i="1"/>
  <c r="J10" i="1" s="1"/>
  <c r="B12" i="1"/>
  <c r="D12" i="1"/>
  <c r="F12" i="1"/>
  <c r="H12" i="1"/>
  <c r="J12" i="1"/>
  <c r="B13" i="1"/>
  <c r="D13" i="1"/>
  <c r="D10" i="1" s="1"/>
  <c r="F13" i="1"/>
  <c r="H13" i="1"/>
  <c r="J13" i="1"/>
  <c r="B14" i="1"/>
  <c r="D14" i="1"/>
  <c r="F14" i="1"/>
  <c r="H14" i="1"/>
  <c r="J14" i="1"/>
  <c r="B15" i="1"/>
  <c r="D15" i="1"/>
  <c r="F15" i="1"/>
  <c r="H15" i="1"/>
  <c r="J15" i="1"/>
  <c r="F16" i="1"/>
  <c r="B17" i="1"/>
  <c r="B16" i="1" s="1"/>
  <c r="D17" i="1"/>
  <c r="F17" i="1"/>
  <c r="H17" i="1"/>
  <c r="J17" i="1"/>
  <c r="J16" i="1" s="1"/>
  <c r="B18" i="1"/>
  <c r="D18" i="1"/>
  <c r="F18" i="1"/>
  <c r="H18" i="1"/>
  <c r="J18" i="1"/>
  <c r="B19" i="1"/>
  <c r="D19" i="1"/>
  <c r="F19" i="1"/>
  <c r="H19" i="1"/>
  <c r="H16" i="1" s="1"/>
  <c r="J19" i="1"/>
  <c r="B20" i="1"/>
  <c r="D20" i="1"/>
  <c r="F20" i="1"/>
  <c r="H20" i="1"/>
  <c r="J20" i="1"/>
  <c r="B21" i="1"/>
  <c r="D21" i="1"/>
  <c r="D16" i="1" s="1"/>
  <c r="F21" i="1"/>
  <c r="H21" i="1"/>
  <c r="J21" i="1"/>
  <c r="B22" i="1"/>
  <c r="D22" i="1"/>
  <c r="F22" i="1"/>
  <c r="H22" i="1"/>
  <c r="J22" i="1"/>
  <c r="J23" i="1"/>
  <c r="B24" i="1"/>
  <c r="D24" i="1"/>
  <c r="D23" i="1" s="1"/>
  <c r="F24" i="1"/>
  <c r="F23" i="1" s="1"/>
  <c r="H24" i="1"/>
  <c r="H23" i="1" s="1"/>
  <c r="J24" i="1"/>
  <c r="B25" i="1"/>
  <c r="D25" i="1"/>
  <c r="F25" i="1"/>
  <c r="H25" i="1"/>
  <c r="J25" i="1"/>
  <c r="B26" i="1"/>
  <c r="B23" i="1" s="1"/>
  <c r="D26" i="1"/>
  <c r="F26" i="1"/>
  <c r="H26" i="1"/>
  <c r="J26" i="1"/>
  <c r="B27" i="1"/>
  <c r="D27" i="1"/>
  <c r="F27" i="1"/>
  <c r="H27" i="1"/>
  <c r="J27" i="1"/>
  <c r="B28" i="1"/>
  <c r="D28" i="1"/>
  <c r="F28" i="1"/>
  <c r="H28" i="1"/>
  <c r="J28" i="1"/>
  <c r="B29" i="1"/>
  <c r="D29" i="1"/>
  <c r="F29" i="1"/>
  <c r="H29" i="1"/>
  <c r="J29" i="1"/>
  <c r="B31" i="1"/>
  <c r="B30" i="1" s="1"/>
  <c r="D31" i="1"/>
  <c r="F31" i="1"/>
  <c r="F30" i="1" s="1"/>
  <c r="H31" i="1"/>
  <c r="J31" i="1"/>
  <c r="B32" i="1"/>
  <c r="D32" i="1"/>
  <c r="F32" i="1"/>
  <c r="H32" i="1"/>
  <c r="J32" i="1"/>
  <c r="B33" i="1"/>
  <c r="D33" i="1"/>
  <c r="F33" i="1"/>
  <c r="H33" i="1"/>
  <c r="J33" i="1"/>
  <c r="B34" i="1"/>
  <c r="D34" i="1"/>
  <c r="F34" i="1"/>
  <c r="H34" i="1"/>
  <c r="J34" i="1"/>
  <c r="B35" i="1"/>
  <c r="D35" i="1"/>
  <c r="F35" i="1"/>
  <c r="H35" i="1"/>
  <c r="H30" i="1" s="1"/>
  <c r="J35" i="1"/>
  <c r="B36" i="1"/>
  <c r="D36" i="1"/>
  <c r="F36" i="1"/>
  <c r="H36" i="1"/>
  <c r="J36" i="1"/>
  <c r="B37" i="1"/>
  <c r="D37" i="1"/>
  <c r="D30" i="1" s="1"/>
  <c r="F37" i="1"/>
  <c r="H37" i="1"/>
  <c r="J37" i="1"/>
  <c r="B38" i="1"/>
  <c r="D38" i="1"/>
  <c r="F38" i="1"/>
  <c r="H38" i="1"/>
  <c r="J38" i="1"/>
  <c r="J30" i="1" s="1"/>
  <c r="B39" i="1"/>
  <c r="D39" i="1"/>
  <c r="F39" i="1"/>
  <c r="H39" i="1"/>
  <c r="J39" i="1"/>
  <c r="A41" i="1"/>
  <c r="B43" i="1"/>
  <c r="F43" i="1"/>
  <c r="B46" i="1"/>
  <c r="D46" i="1"/>
  <c r="D45" i="1" s="1"/>
  <c r="F46" i="1"/>
  <c r="F45" i="1" s="1"/>
  <c r="H46" i="1"/>
  <c r="H45" i="1" s="1"/>
  <c r="J46" i="1"/>
  <c r="B47" i="1"/>
  <c r="D47" i="1"/>
  <c r="F47" i="1"/>
  <c r="H47" i="1"/>
  <c r="J47" i="1"/>
  <c r="B48" i="1"/>
  <c r="B45" i="1" s="1"/>
  <c r="D48" i="1"/>
  <c r="F48" i="1"/>
  <c r="H48" i="1"/>
  <c r="J48" i="1"/>
  <c r="B49" i="1"/>
  <c r="D49" i="1"/>
  <c r="F49" i="1"/>
  <c r="H49" i="1"/>
  <c r="J49" i="1"/>
  <c r="B50" i="1"/>
  <c r="D50" i="1"/>
  <c r="F50" i="1"/>
  <c r="H50" i="1"/>
  <c r="J50" i="1"/>
  <c r="B51" i="1"/>
  <c r="D51" i="1"/>
  <c r="F51" i="1"/>
  <c r="H51" i="1"/>
  <c r="J51" i="1"/>
  <c r="B52" i="1"/>
  <c r="D52" i="1"/>
  <c r="F52" i="1"/>
  <c r="H52" i="1"/>
  <c r="J52" i="1"/>
  <c r="J45" i="1" s="1"/>
  <c r="B53" i="1"/>
  <c r="D53" i="1"/>
  <c r="F53" i="1"/>
  <c r="H53" i="1"/>
  <c r="J53" i="1"/>
  <c r="B54" i="1"/>
  <c r="D54" i="1"/>
  <c r="F54" i="1"/>
  <c r="H54" i="1"/>
  <c r="J54" i="1"/>
  <c r="B56" i="1"/>
  <c r="B55" i="1" s="1"/>
  <c r="D56" i="1"/>
  <c r="D55" i="1" s="1"/>
  <c r="F56" i="1"/>
  <c r="H56" i="1"/>
  <c r="H55" i="1" s="1"/>
  <c r="J56" i="1"/>
  <c r="B57" i="1"/>
  <c r="D57" i="1"/>
  <c r="F57" i="1"/>
  <c r="F55" i="1" s="1"/>
  <c r="H57" i="1"/>
  <c r="J57" i="1"/>
  <c r="B58" i="1"/>
  <c r="D58" i="1"/>
  <c r="F58" i="1"/>
  <c r="H58" i="1"/>
  <c r="J58" i="1"/>
  <c r="B59" i="1"/>
  <c r="D59" i="1"/>
  <c r="F59" i="1"/>
  <c r="H59" i="1"/>
  <c r="J59" i="1"/>
  <c r="B60" i="1"/>
  <c r="D60" i="1"/>
  <c r="F60" i="1"/>
  <c r="H60" i="1"/>
  <c r="J60" i="1"/>
  <c r="J55" i="1" s="1"/>
  <c r="B61" i="1"/>
  <c r="D61" i="1"/>
  <c r="F61" i="1"/>
  <c r="H61" i="1"/>
  <c r="J61" i="1"/>
  <c r="B62" i="1"/>
  <c r="D62" i="1"/>
  <c r="F62" i="1"/>
  <c r="H62" i="1"/>
  <c r="J62" i="1"/>
  <c r="B63" i="1"/>
  <c r="D63" i="1"/>
  <c r="F63" i="1"/>
  <c r="H63" i="1"/>
  <c r="J63" i="1"/>
  <c r="B64" i="1"/>
  <c r="D64" i="1"/>
  <c r="F64" i="1"/>
  <c r="H64" i="1"/>
  <c r="J64" i="1"/>
  <c r="B66" i="1"/>
  <c r="D66" i="1"/>
  <c r="D65" i="1" s="1"/>
  <c r="F66" i="1"/>
  <c r="H66" i="1"/>
  <c r="J66" i="1"/>
  <c r="B67" i="1"/>
  <c r="B65" i="1" s="1"/>
  <c r="D67" i="1"/>
  <c r="F67" i="1"/>
  <c r="H67" i="1"/>
  <c r="J67" i="1"/>
  <c r="J65" i="1" s="1"/>
  <c r="B68" i="1"/>
  <c r="D68" i="1"/>
  <c r="F68" i="1"/>
  <c r="H68" i="1"/>
  <c r="J68" i="1"/>
  <c r="B69" i="1"/>
  <c r="D69" i="1"/>
  <c r="F69" i="1"/>
  <c r="H69" i="1"/>
  <c r="J69" i="1"/>
  <c r="B70" i="1"/>
  <c r="D70" i="1"/>
  <c r="F70" i="1"/>
  <c r="F65" i="1" s="1"/>
  <c r="H70" i="1"/>
  <c r="J70" i="1"/>
  <c r="B71" i="1"/>
  <c r="D71" i="1"/>
  <c r="F71" i="1"/>
  <c r="H71" i="1"/>
  <c r="J71" i="1"/>
  <c r="B72" i="1"/>
  <c r="D72" i="1"/>
  <c r="F72" i="1"/>
  <c r="H72" i="1"/>
  <c r="J72" i="1"/>
  <c r="B73" i="1"/>
  <c r="D73" i="1"/>
  <c r="F73" i="1"/>
  <c r="H73" i="1"/>
  <c r="H65" i="1" s="1"/>
  <c r="J73" i="1"/>
  <c r="B75" i="1"/>
  <c r="B74" i="1" s="1"/>
  <c r="D75" i="1"/>
  <c r="D74" i="1" s="1"/>
  <c r="F75" i="1"/>
  <c r="F74" i="1" s="1"/>
  <c r="H75" i="1"/>
  <c r="J75" i="1"/>
  <c r="J74" i="1" s="1"/>
  <c r="B76" i="1"/>
  <c r="D76" i="1"/>
  <c r="F76" i="1"/>
  <c r="H76" i="1"/>
  <c r="H74" i="1" s="1"/>
  <c r="J76" i="1"/>
  <c r="B77" i="1"/>
  <c r="D77" i="1"/>
  <c r="F77" i="1"/>
  <c r="H77" i="1"/>
  <c r="J77" i="1"/>
  <c r="B78" i="1"/>
  <c r="D78" i="1"/>
  <c r="F78" i="1"/>
  <c r="H78" i="1"/>
  <c r="J78" i="1"/>
  <c r="B79" i="1"/>
  <c r="D79" i="1"/>
  <c r="F79" i="1"/>
  <c r="H79" i="1"/>
  <c r="J79" i="1"/>
  <c r="B80" i="1"/>
  <c r="D80" i="1"/>
  <c r="F80" i="1"/>
  <c r="H80" i="1"/>
  <c r="J80" i="1"/>
  <c r="B81" i="1"/>
  <c r="D81" i="1"/>
  <c r="F81" i="1"/>
  <c r="H81" i="1"/>
  <c r="J81" i="1"/>
  <c r="B82" i="1"/>
  <c r="D82" i="1"/>
  <c r="F82" i="1"/>
  <c r="H82" i="1"/>
  <c r="J82" i="1"/>
  <c r="B83" i="1"/>
  <c r="D83" i="1"/>
  <c r="F83" i="1"/>
  <c r="H83" i="1"/>
  <c r="J83" i="1"/>
  <c r="B84" i="1"/>
  <c r="D84" i="1"/>
  <c r="F84" i="1"/>
  <c r="H84" i="1"/>
  <c r="J84" i="1"/>
  <c r="A86" i="1"/>
  <c r="B88" i="1"/>
  <c r="F88" i="1"/>
  <c r="B91" i="1"/>
  <c r="B90" i="1" s="1"/>
  <c r="D91" i="1"/>
  <c r="F91" i="1"/>
  <c r="F90" i="1" s="1"/>
  <c r="H91" i="1"/>
  <c r="J91" i="1"/>
  <c r="B92" i="1"/>
  <c r="D92" i="1"/>
  <c r="D90" i="1" s="1"/>
  <c r="F92" i="1"/>
  <c r="H92" i="1"/>
  <c r="J92" i="1"/>
  <c r="B93" i="1"/>
  <c r="D93" i="1"/>
  <c r="F93" i="1"/>
  <c r="H93" i="1"/>
  <c r="J93" i="1"/>
  <c r="B94" i="1"/>
  <c r="D94" i="1"/>
  <c r="F94" i="1"/>
  <c r="H94" i="1"/>
  <c r="J94" i="1"/>
  <c r="B95" i="1"/>
  <c r="D95" i="1"/>
  <c r="F95" i="1"/>
  <c r="H95" i="1"/>
  <c r="H90" i="1" s="1"/>
  <c r="J95" i="1"/>
  <c r="B96" i="1"/>
  <c r="D96" i="1"/>
  <c r="F96" i="1"/>
  <c r="H96" i="1"/>
  <c r="J96" i="1"/>
  <c r="B97" i="1"/>
  <c r="D97" i="1"/>
  <c r="F97" i="1"/>
  <c r="H97" i="1"/>
  <c r="J97" i="1"/>
  <c r="B98" i="1"/>
  <c r="D98" i="1"/>
  <c r="F98" i="1"/>
  <c r="H98" i="1"/>
  <c r="J98" i="1"/>
  <c r="J90" i="1" s="1"/>
  <c r="B99" i="1"/>
  <c r="D99" i="1"/>
  <c r="F99" i="1"/>
  <c r="H99" i="1"/>
  <c r="J99" i="1"/>
  <c r="B100" i="1"/>
  <c r="D100" i="1"/>
  <c r="F100" i="1"/>
  <c r="H100" i="1"/>
  <c r="J100" i="1"/>
  <c r="B101" i="1"/>
  <c r="D101" i="1"/>
  <c r="F101" i="1"/>
  <c r="H101" i="1"/>
  <c r="J101" i="1"/>
  <c r="B102" i="1"/>
  <c r="D102" i="1"/>
  <c r="F102" i="1"/>
  <c r="H102" i="1"/>
  <c r="J102" i="1"/>
  <c r="B103" i="1"/>
  <c r="D103" i="1"/>
  <c r="F103" i="1"/>
  <c r="H103" i="1"/>
  <c r="J103" i="1"/>
  <c r="B104" i="1"/>
  <c r="D104" i="1"/>
  <c r="F104" i="1"/>
  <c r="H104" i="1"/>
  <c r="J104" i="1"/>
  <c r="B105" i="1"/>
  <c r="D105" i="1"/>
  <c r="F105" i="1"/>
  <c r="H105" i="1"/>
  <c r="J105" i="1"/>
  <c r="B107" i="1"/>
  <c r="B106" i="1" s="1"/>
  <c r="D107" i="1"/>
  <c r="F107" i="1"/>
  <c r="F106" i="1" s="1"/>
  <c r="H107" i="1"/>
  <c r="J107" i="1"/>
  <c r="B108" i="1"/>
  <c r="D108" i="1"/>
  <c r="D106" i="1" s="1"/>
  <c r="F108" i="1"/>
  <c r="H108" i="1"/>
  <c r="J108" i="1"/>
  <c r="B109" i="1"/>
  <c r="D109" i="1"/>
  <c r="F109" i="1"/>
  <c r="H109" i="1"/>
  <c r="J109" i="1"/>
  <c r="B110" i="1"/>
  <c r="D110" i="1"/>
  <c r="F110" i="1"/>
  <c r="H110" i="1"/>
  <c r="J110" i="1"/>
  <c r="B111" i="1"/>
  <c r="D111" i="1"/>
  <c r="F111" i="1"/>
  <c r="H111" i="1"/>
  <c r="H106" i="1" s="1"/>
  <c r="J111" i="1"/>
  <c r="B112" i="1"/>
  <c r="D112" i="1"/>
  <c r="F112" i="1"/>
  <c r="H112" i="1"/>
  <c r="J112" i="1"/>
  <c r="B113" i="1"/>
  <c r="D113" i="1"/>
  <c r="F113" i="1"/>
  <c r="H113" i="1"/>
  <c r="J113" i="1"/>
  <c r="B114" i="1"/>
  <c r="D114" i="1"/>
  <c r="F114" i="1"/>
  <c r="H114" i="1"/>
  <c r="J114" i="1"/>
  <c r="J106" i="1" s="1"/>
  <c r="B116" i="1"/>
  <c r="D116" i="1"/>
  <c r="D115" i="1" s="1"/>
  <c r="F116" i="1"/>
  <c r="F115" i="1" s="1"/>
  <c r="H116" i="1"/>
  <c r="H115" i="1" s="1"/>
  <c r="J116" i="1"/>
  <c r="B117" i="1"/>
  <c r="B115" i="1" s="1"/>
  <c r="D117" i="1"/>
  <c r="F117" i="1"/>
  <c r="H117" i="1"/>
  <c r="J117" i="1"/>
  <c r="J115" i="1" s="1"/>
  <c r="B118" i="1"/>
  <c r="D118" i="1"/>
  <c r="F118" i="1"/>
  <c r="H118" i="1"/>
  <c r="J118" i="1"/>
  <c r="B119" i="1"/>
  <c r="D119" i="1"/>
  <c r="F119" i="1"/>
  <c r="H119" i="1"/>
  <c r="J119" i="1"/>
  <c r="B120" i="1"/>
  <c r="D120" i="1"/>
  <c r="F120" i="1"/>
  <c r="H120" i="1"/>
  <c r="J120" i="1"/>
  <c r="B121" i="1"/>
  <c r="D121" i="1"/>
  <c r="F121" i="1"/>
  <c r="H121" i="1"/>
  <c r="J121" i="1"/>
  <c r="B122" i="1"/>
  <c r="D122" i="1"/>
  <c r="F122" i="1"/>
  <c r="H122" i="1"/>
  <c r="J122" i="1"/>
  <c r="B123" i="1"/>
  <c r="D123" i="1"/>
  <c r="F123" i="1"/>
  <c r="H123" i="1"/>
  <c r="J123" i="1"/>
  <c r="B124" i="1"/>
  <c r="D124" i="1"/>
  <c r="F124" i="1"/>
  <c r="H124" i="1"/>
  <c r="J124" i="1"/>
  <c r="D8" i="1" l="1"/>
  <c r="F8" i="1"/>
  <c r="B8" i="1"/>
  <c r="H8" i="1"/>
  <c r="J8" i="1"/>
</calcChain>
</file>

<file path=xl/sharedStrings.xml><?xml version="1.0" encoding="utf-8"?>
<sst xmlns="http://schemas.openxmlformats.org/spreadsheetml/2006/main" count="128" uniqueCount="114">
  <si>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No longer a separate district.</t>
    </r>
  </si>
  <si>
    <t>GA,S</t>
  </si>
  <si>
    <t>GA,M</t>
  </si>
  <si>
    <t>GA,N</t>
  </si>
  <si>
    <t>FL,S</t>
  </si>
  <si>
    <t>FL,M</t>
  </si>
  <si>
    <t>FL,N</t>
  </si>
  <si>
    <t>AL,S</t>
  </si>
  <si>
    <t>AL,M</t>
  </si>
  <si>
    <t>AL,N</t>
  </si>
  <si>
    <t>11th</t>
  </si>
  <si>
    <t>WY</t>
  </si>
  <si>
    <t>UT</t>
  </si>
  <si>
    <t>OK,W</t>
  </si>
  <si>
    <t>OK,E</t>
  </si>
  <si>
    <t>OK,N</t>
  </si>
  <si>
    <t>NM</t>
  </si>
  <si>
    <t>KS</t>
  </si>
  <si>
    <t>CO</t>
  </si>
  <si>
    <t>10th</t>
  </si>
  <si>
    <t>NMI</t>
  </si>
  <si>
    <t>GUAM</t>
  </si>
  <si>
    <t>WA,W</t>
  </si>
  <si>
    <t>WA,E</t>
  </si>
  <si>
    <t>OR</t>
  </si>
  <si>
    <t>NV</t>
  </si>
  <si>
    <t>MT</t>
  </si>
  <si>
    <t>ID</t>
  </si>
  <si>
    <t>HI</t>
  </si>
  <si>
    <t>CA,S</t>
  </si>
  <si>
    <t>CA,C</t>
  </si>
  <si>
    <t>CA,E</t>
  </si>
  <si>
    <t>CA,N</t>
  </si>
  <si>
    <t>AZ</t>
  </si>
  <si>
    <t>AK</t>
  </si>
  <si>
    <t>9th</t>
  </si>
  <si>
    <t>Out of District</t>
  </si>
  <si>
    <t>Into District</t>
  </si>
  <si>
    <t>Total Pending
in Transferee
District</t>
  </si>
  <si>
    <t>Circuit and District</t>
  </si>
  <si>
    <t>SD</t>
  </si>
  <si>
    <t>ND</t>
  </si>
  <si>
    <t>NE</t>
  </si>
  <si>
    <t>MO,W</t>
  </si>
  <si>
    <t>MO,E</t>
  </si>
  <si>
    <t>MN</t>
  </si>
  <si>
    <t>IA,S</t>
  </si>
  <si>
    <t>IA,N</t>
  </si>
  <si>
    <t>AR,W</t>
  </si>
  <si>
    <t>AR,E</t>
  </si>
  <si>
    <t>8th</t>
  </si>
  <si>
    <t>WI,W</t>
  </si>
  <si>
    <t>WI,E</t>
  </si>
  <si>
    <t>IN,S</t>
  </si>
  <si>
    <t>IN,N</t>
  </si>
  <si>
    <t>IL,S</t>
  </si>
  <si>
    <t>IL,C</t>
  </si>
  <si>
    <r>
      <t xml:space="preserve">IL,E </t>
    </r>
    <r>
      <rPr>
        <vertAlign val="superscript"/>
        <sz val="8"/>
        <color theme="1"/>
        <rFont val="Arial"/>
        <family val="2"/>
      </rPr>
      <t>1</t>
    </r>
  </si>
  <si>
    <t>IL,N</t>
  </si>
  <si>
    <t>7th</t>
  </si>
  <si>
    <t>TN,W</t>
  </si>
  <si>
    <t>TN,M</t>
  </si>
  <si>
    <t>TN,E</t>
  </si>
  <si>
    <t>OH,S</t>
  </si>
  <si>
    <t>OH,N</t>
  </si>
  <si>
    <t>MI,W</t>
  </si>
  <si>
    <t>MI,E</t>
  </si>
  <si>
    <t>KY,W</t>
  </si>
  <si>
    <t>KY,E</t>
  </si>
  <si>
    <t>6th</t>
  </si>
  <si>
    <t>TX,W</t>
  </si>
  <si>
    <t>TX,S</t>
  </si>
  <si>
    <t>TX,E</t>
  </si>
  <si>
    <t>TX,N</t>
  </si>
  <si>
    <t>MS,S</t>
  </si>
  <si>
    <t>MS,N</t>
  </si>
  <si>
    <t>LA,W</t>
  </si>
  <si>
    <t>LA,M</t>
  </si>
  <si>
    <t>LA,E</t>
  </si>
  <si>
    <t>5th</t>
  </si>
  <si>
    <t>WV,S</t>
  </si>
  <si>
    <t>WV,N</t>
  </si>
  <si>
    <t>VA,W</t>
  </si>
  <si>
    <t>VA,E</t>
  </si>
  <si>
    <t>SC</t>
  </si>
  <si>
    <t>NC,W</t>
  </si>
  <si>
    <t>NC,M</t>
  </si>
  <si>
    <t>NC,E</t>
  </si>
  <si>
    <t>MD</t>
  </si>
  <si>
    <t>4th</t>
  </si>
  <si>
    <t>VI</t>
  </si>
  <si>
    <t>PA,W</t>
  </si>
  <si>
    <t>PA,M</t>
  </si>
  <si>
    <t>PA,E</t>
  </si>
  <si>
    <t>NJ</t>
  </si>
  <si>
    <t>DE</t>
  </si>
  <si>
    <t>3rd</t>
  </si>
  <si>
    <t>VT</t>
  </si>
  <si>
    <t>NY,W</t>
  </si>
  <si>
    <t>NY,S</t>
  </si>
  <si>
    <t>NY,E</t>
  </si>
  <si>
    <t>NY,N</t>
  </si>
  <si>
    <t>CT</t>
  </si>
  <si>
    <t>2nd</t>
  </si>
  <si>
    <t>PR</t>
  </si>
  <si>
    <t>RI</t>
  </si>
  <si>
    <t>NH</t>
  </si>
  <si>
    <t>MA</t>
  </si>
  <si>
    <t>ME</t>
  </si>
  <si>
    <t>1st</t>
  </si>
  <si>
    <t>DC</t>
  </si>
  <si>
    <t>Total</t>
  </si>
  <si>
    <t>Cases Transferred by Order of the Judicial Panel on Multidistrict Litigation,</t>
  </si>
  <si>
    <t>Table S-19.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</si>
</sst>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0" xfId="1" applyNumberFormat="1" applyFont="1"/>
    <xf numFmtId="164" fontId="4" fillId="0" borderId="0" xfId="1" applyNumberFormat="1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10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39AC984-C3D8-459B-9D8F-59E6CF38FF13}"/>
            </a:ext>
          </a:extLst>
        </xdr:cNvPr>
        <xdr:cNvCxnSpPr/>
      </xdr:nvCxnSpPr>
      <xdr:spPr>
        <a:xfrm>
          <a:off x="28573" y="47625"/>
          <a:ext cx="651891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28573</xdr:colOff>
      <xdr:row>84</xdr:row>
      <xdr:rowOff>47625</xdr:rowOff>
    </xdr:from>
    <xdr:to>
      <xdr:col>11</xdr:col>
      <xdr:colOff>3808</xdr:colOff>
      <xdr:row>84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580434D-48E4-4B0E-8679-E17A9980E6C5}"/>
            </a:ext>
          </a:extLst>
        </xdr:cNvPr>
        <xdr:cNvCxnSpPr/>
      </xdr:nvCxnSpPr>
      <xdr:spPr>
        <a:xfrm>
          <a:off x="28573" y="15409545"/>
          <a:ext cx="684847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39</xdr:row>
      <xdr:rowOff>47625</xdr:rowOff>
    </xdr:from>
    <xdr:to>
      <xdr:col>11</xdr:col>
      <xdr:colOff>3810</xdr:colOff>
      <xdr:row>39</xdr:row>
      <xdr:rowOff>47625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61CD4DF-10FA-4F5E-A3F3-F10EBCA6A0E8}"/>
            </a:ext>
          </a:extLst>
        </xdr:cNvPr>
        <xdr:cNvCxnSpPr/>
      </xdr:nvCxnSpPr>
      <xdr:spPr>
        <a:xfrm>
          <a:off x="28575" y="7179945"/>
          <a:ext cx="684847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JDAO%20Branch%20Folders\Data%20Quality%20and%20Production%20Branch%20(DQP)\External%20Data%20Programs\JPMDL\2022%2009\JDAO%20Tables%20S-19%20and%20S-20%20Template%20Sep%202022%20v1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Excel Report - S-19"/>
      <sheetName val="Formatted Report - S-20"/>
      <sheetName val="Raw Data - S-19"/>
      <sheetName val="Raw Data - S-20"/>
    </sheetNames>
    <sheetDataSet>
      <sheetData sheetId="0"/>
      <sheetData sheetId="1"/>
      <sheetData sheetId="2"/>
      <sheetData sheetId="3"/>
      <sheetData sheetId="4">
        <row r="1">
          <cell r="G1" t="str">
            <v>Cumulative From September 1968 Through September 30, 2022</v>
          </cell>
        </row>
        <row r="9">
          <cell r="A9" t="str">
            <v>TOTAL</v>
          </cell>
          <cell r="B9">
            <v>2520</v>
          </cell>
          <cell r="C9">
            <v>2520</v>
          </cell>
          <cell r="D9">
            <v>0</v>
          </cell>
          <cell r="E9">
            <v>58280</v>
          </cell>
          <cell r="F9">
            <v>60301</v>
          </cell>
          <cell r="G9">
            <v>283917</v>
          </cell>
          <cell r="H9">
            <v>283917</v>
          </cell>
          <cell r="I9">
            <v>0</v>
          </cell>
          <cell r="J9">
            <v>833511</v>
          </cell>
          <cell r="K9">
            <v>725054</v>
          </cell>
          <cell r="L9">
            <v>392374</v>
          </cell>
        </row>
        <row r="12">
          <cell r="A12" t="str">
            <v>District of Columbia</v>
          </cell>
          <cell r="B12">
            <v>1</v>
          </cell>
          <cell r="C12">
            <v>58</v>
          </cell>
          <cell r="D12">
            <v>-57</v>
          </cell>
          <cell r="E12">
            <v>0</v>
          </cell>
          <cell r="F12">
            <v>2</v>
          </cell>
          <cell r="G12">
            <v>2449</v>
          </cell>
          <cell r="H12">
            <v>2598</v>
          </cell>
          <cell r="I12">
            <v>-149</v>
          </cell>
          <cell r="J12">
            <v>442</v>
          </cell>
          <cell r="K12">
            <v>2616</v>
          </cell>
          <cell r="L12">
            <v>225</v>
          </cell>
        </row>
        <row r="13">
          <cell r="B13">
            <v>1</v>
          </cell>
          <cell r="C13">
            <v>58</v>
          </cell>
          <cell r="D13">
            <v>-57</v>
          </cell>
          <cell r="E13">
            <v>0</v>
          </cell>
          <cell r="F13">
            <v>2</v>
          </cell>
          <cell r="G13">
            <v>2449</v>
          </cell>
          <cell r="H13">
            <v>2598</v>
          </cell>
          <cell r="I13">
            <v>-149</v>
          </cell>
          <cell r="J13">
            <v>442</v>
          </cell>
          <cell r="K13">
            <v>2616</v>
          </cell>
          <cell r="L13">
            <v>225</v>
          </cell>
        </row>
        <row r="15">
          <cell r="A15" t="str">
            <v>1ST</v>
          </cell>
          <cell r="B15">
            <v>23</v>
          </cell>
          <cell r="C15">
            <v>114</v>
          </cell>
          <cell r="D15">
            <v>-91</v>
          </cell>
          <cell r="E15">
            <v>482</v>
          </cell>
          <cell r="F15">
            <v>56</v>
          </cell>
          <cell r="G15">
            <v>4610</v>
          </cell>
          <cell r="H15">
            <v>7545</v>
          </cell>
          <cell r="I15">
            <v>-2935</v>
          </cell>
          <cell r="J15">
            <v>10402</v>
          </cell>
          <cell r="K15">
            <v>12359</v>
          </cell>
          <cell r="L15">
            <v>4048</v>
          </cell>
        </row>
        <row r="16">
          <cell r="A16" t="str">
            <v>Maine</v>
          </cell>
          <cell r="B16">
            <v>0</v>
          </cell>
          <cell r="C16">
            <v>9</v>
          </cell>
          <cell r="D16">
            <v>-9</v>
          </cell>
          <cell r="E16">
            <v>0</v>
          </cell>
          <cell r="F16">
            <v>0</v>
          </cell>
          <cell r="G16">
            <v>132</v>
          </cell>
          <cell r="H16">
            <v>925</v>
          </cell>
          <cell r="I16">
            <v>-793</v>
          </cell>
          <cell r="J16">
            <v>21</v>
          </cell>
          <cell r="K16">
            <v>203</v>
          </cell>
          <cell r="L16">
            <v>0</v>
          </cell>
        </row>
        <row r="17">
          <cell r="A17" t="str">
            <v>Massachusetts</v>
          </cell>
          <cell r="B17">
            <v>17</v>
          </cell>
          <cell r="C17">
            <v>65</v>
          </cell>
          <cell r="D17">
            <v>-48</v>
          </cell>
          <cell r="E17">
            <v>176</v>
          </cell>
          <cell r="F17">
            <v>43</v>
          </cell>
          <cell r="G17">
            <v>2185</v>
          </cell>
          <cell r="H17">
            <v>5019</v>
          </cell>
          <cell r="I17">
            <v>-2834</v>
          </cell>
          <cell r="J17">
            <v>6450</v>
          </cell>
          <cell r="K17">
            <v>8290</v>
          </cell>
          <cell r="L17">
            <v>736</v>
          </cell>
        </row>
        <row r="18">
          <cell r="A18" t="str">
            <v>New Hampshire</v>
          </cell>
          <cell r="B18">
            <v>6</v>
          </cell>
          <cell r="C18">
            <v>13</v>
          </cell>
          <cell r="D18">
            <v>-7</v>
          </cell>
          <cell r="E18">
            <v>306</v>
          </cell>
          <cell r="F18">
            <v>13</v>
          </cell>
          <cell r="G18">
            <v>191</v>
          </cell>
          <cell r="H18">
            <v>504</v>
          </cell>
          <cell r="I18">
            <v>-313</v>
          </cell>
          <cell r="J18">
            <v>3364</v>
          </cell>
          <cell r="K18">
            <v>1083</v>
          </cell>
          <cell r="L18">
            <v>3312</v>
          </cell>
        </row>
        <row r="19">
          <cell r="A19" t="str">
            <v>Rhode Island</v>
          </cell>
          <cell r="B19">
            <v>0</v>
          </cell>
          <cell r="C19">
            <v>16</v>
          </cell>
          <cell r="D19">
            <v>-16</v>
          </cell>
          <cell r="E19">
            <v>0</v>
          </cell>
          <cell r="F19">
            <v>0</v>
          </cell>
          <cell r="G19">
            <v>2032</v>
          </cell>
          <cell r="H19">
            <v>727</v>
          </cell>
          <cell r="I19">
            <v>1305</v>
          </cell>
          <cell r="J19">
            <v>215</v>
          </cell>
          <cell r="K19">
            <v>2358</v>
          </cell>
          <cell r="L19">
            <v>0</v>
          </cell>
        </row>
        <row r="20">
          <cell r="A20" t="str">
            <v>Puerto Rico</v>
          </cell>
          <cell r="B20">
            <v>0</v>
          </cell>
          <cell r="C20">
            <v>11</v>
          </cell>
          <cell r="D20">
            <v>-11</v>
          </cell>
          <cell r="E20">
            <v>0</v>
          </cell>
          <cell r="F20">
            <v>0</v>
          </cell>
          <cell r="G20">
            <v>70</v>
          </cell>
          <cell r="H20">
            <v>370</v>
          </cell>
          <cell r="I20">
            <v>-300</v>
          </cell>
          <cell r="J20">
            <v>352</v>
          </cell>
          <cell r="K20">
            <v>425</v>
          </cell>
          <cell r="L20">
            <v>0</v>
          </cell>
        </row>
        <row r="22">
          <cell r="A22" t="str">
            <v>2ND</v>
          </cell>
          <cell r="B22">
            <v>44</v>
          </cell>
          <cell r="C22">
            <v>169</v>
          </cell>
          <cell r="D22">
            <v>-125</v>
          </cell>
          <cell r="E22">
            <v>111</v>
          </cell>
          <cell r="F22">
            <v>27</v>
          </cell>
          <cell r="G22">
            <v>11864</v>
          </cell>
          <cell r="H22">
            <v>23054</v>
          </cell>
          <cell r="I22">
            <v>-11190</v>
          </cell>
          <cell r="J22">
            <v>8302</v>
          </cell>
          <cell r="K22">
            <v>20009</v>
          </cell>
          <cell r="L22">
            <v>1183</v>
          </cell>
        </row>
        <row r="23">
          <cell r="A23" t="str">
            <v>Connecticut</v>
          </cell>
          <cell r="B23">
            <v>0</v>
          </cell>
          <cell r="C23">
            <v>21</v>
          </cell>
          <cell r="D23">
            <v>-21</v>
          </cell>
          <cell r="E23">
            <v>0</v>
          </cell>
          <cell r="F23">
            <v>0</v>
          </cell>
          <cell r="G23">
            <v>532</v>
          </cell>
          <cell r="H23">
            <v>2642</v>
          </cell>
          <cell r="I23">
            <v>-2110</v>
          </cell>
          <cell r="J23">
            <v>334</v>
          </cell>
          <cell r="K23">
            <v>912</v>
          </cell>
          <cell r="L23">
            <v>0</v>
          </cell>
        </row>
        <row r="24">
          <cell r="A24" t="str">
            <v>New York, N.</v>
          </cell>
          <cell r="B24">
            <v>0</v>
          </cell>
          <cell r="C24">
            <v>20</v>
          </cell>
          <cell r="D24">
            <v>-20</v>
          </cell>
          <cell r="E24">
            <v>0</v>
          </cell>
          <cell r="F24">
            <v>0</v>
          </cell>
          <cell r="G24">
            <v>14</v>
          </cell>
          <cell r="H24">
            <v>1207</v>
          </cell>
          <cell r="I24">
            <v>-1193</v>
          </cell>
          <cell r="J24">
            <v>3</v>
          </cell>
          <cell r="K24">
            <v>83</v>
          </cell>
          <cell r="L24">
            <v>0</v>
          </cell>
        </row>
        <row r="25">
          <cell r="A25" t="str">
            <v>New York, E.</v>
          </cell>
          <cell r="B25">
            <v>0</v>
          </cell>
          <cell r="C25">
            <v>28</v>
          </cell>
          <cell r="D25">
            <v>-28</v>
          </cell>
          <cell r="E25">
            <v>2</v>
          </cell>
          <cell r="F25">
            <v>1</v>
          </cell>
          <cell r="G25">
            <v>3344</v>
          </cell>
          <cell r="H25">
            <v>5212</v>
          </cell>
          <cell r="I25">
            <v>-1868</v>
          </cell>
          <cell r="J25">
            <v>2326</v>
          </cell>
          <cell r="K25">
            <v>5356</v>
          </cell>
          <cell r="L25">
            <v>91</v>
          </cell>
        </row>
        <row r="26">
          <cell r="A26" t="str">
            <v>New York, S.</v>
          </cell>
          <cell r="B26">
            <v>44</v>
          </cell>
          <cell r="C26">
            <v>75</v>
          </cell>
          <cell r="D26">
            <v>-31</v>
          </cell>
          <cell r="E26">
            <v>109</v>
          </cell>
          <cell r="F26">
            <v>26</v>
          </cell>
          <cell r="G26">
            <v>7946</v>
          </cell>
          <cell r="H26">
            <v>11682</v>
          </cell>
          <cell r="I26">
            <v>-3736</v>
          </cell>
          <cell r="J26">
            <v>5601</v>
          </cell>
          <cell r="K26">
            <v>13395</v>
          </cell>
          <cell r="L26">
            <v>1076</v>
          </cell>
        </row>
        <row r="27">
          <cell r="A27" t="str">
            <v>New York, W.</v>
          </cell>
          <cell r="B27">
            <v>0</v>
          </cell>
          <cell r="C27">
            <v>23</v>
          </cell>
          <cell r="D27">
            <v>-23</v>
          </cell>
          <cell r="E27">
            <v>0</v>
          </cell>
          <cell r="F27">
            <v>0</v>
          </cell>
          <cell r="G27">
            <v>28</v>
          </cell>
          <cell r="H27">
            <v>2153</v>
          </cell>
          <cell r="I27">
            <v>-2125</v>
          </cell>
          <cell r="J27">
            <v>38</v>
          </cell>
          <cell r="K27">
            <v>243</v>
          </cell>
          <cell r="L27">
            <v>16</v>
          </cell>
        </row>
        <row r="28">
          <cell r="A28" t="str">
            <v>Vermont</v>
          </cell>
          <cell r="B28">
            <v>0</v>
          </cell>
          <cell r="C28">
            <v>2</v>
          </cell>
          <cell r="D28">
            <v>-2</v>
          </cell>
          <cell r="E28">
            <v>0</v>
          </cell>
          <cell r="F28">
            <v>0</v>
          </cell>
          <cell r="G28">
            <v>0</v>
          </cell>
          <cell r="H28">
            <v>158</v>
          </cell>
          <cell r="I28">
            <v>-158</v>
          </cell>
          <cell r="J28">
            <v>0</v>
          </cell>
          <cell r="K28">
            <v>20</v>
          </cell>
          <cell r="L28">
            <v>0</v>
          </cell>
        </row>
        <row r="30">
          <cell r="A30" t="str">
            <v>3RD</v>
          </cell>
          <cell r="B30">
            <v>430</v>
          </cell>
          <cell r="C30">
            <v>263</v>
          </cell>
          <cell r="D30">
            <v>167</v>
          </cell>
          <cell r="E30">
            <v>3744</v>
          </cell>
          <cell r="F30">
            <v>789</v>
          </cell>
          <cell r="G30">
            <v>133382</v>
          </cell>
          <cell r="H30">
            <v>20303</v>
          </cell>
          <cell r="I30">
            <v>113079</v>
          </cell>
          <cell r="J30">
            <v>164575</v>
          </cell>
          <cell r="K30">
            <v>243667</v>
          </cell>
          <cell r="L30">
            <v>58303</v>
          </cell>
        </row>
        <row r="31">
          <cell r="A31" t="str">
            <v>Delaware</v>
          </cell>
          <cell r="B31">
            <v>6</v>
          </cell>
          <cell r="C31">
            <v>78</v>
          </cell>
          <cell r="D31">
            <v>-72</v>
          </cell>
          <cell r="E31">
            <v>34</v>
          </cell>
          <cell r="F31">
            <v>29</v>
          </cell>
          <cell r="G31">
            <v>198</v>
          </cell>
          <cell r="H31">
            <v>1028</v>
          </cell>
          <cell r="I31">
            <v>-830</v>
          </cell>
          <cell r="J31">
            <v>215</v>
          </cell>
          <cell r="K31">
            <v>503</v>
          </cell>
          <cell r="L31">
            <v>63</v>
          </cell>
        </row>
        <row r="32">
          <cell r="A32" t="str">
            <v>New Jersey</v>
          </cell>
          <cell r="B32">
            <v>79</v>
          </cell>
          <cell r="C32">
            <v>101</v>
          </cell>
          <cell r="D32">
            <v>-22</v>
          </cell>
          <cell r="E32">
            <v>3456</v>
          </cell>
          <cell r="F32">
            <v>573</v>
          </cell>
          <cell r="G32">
            <v>5603</v>
          </cell>
          <cell r="H32">
            <v>7221</v>
          </cell>
          <cell r="I32">
            <v>-1618</v>
          </cell>
          <cell r="J32">
            <v>62689</v>
          </cell>
          <cell r="K32">
            <v>15092</v>
          </cell>
          <cell r="L32">
            <v>55266</v>
          </cell>
        </row>
        <row r="33">
          <cell r="A33" t="str">
            <v>Pennsylvania, E.</v>
          </cell>
          <cell r="B33">
            <v>32</v>
          </cell>
          <cell r="C33">
            <v>72</v>
          </cell>
          <cell r="D33">
            <v>-40</v>
          </cell>
          <cell r="E33">
            <v>153</v>
          </cell>
          <cell r="F33">
            <v>163</v>
          </cell>
          <cell r="G33">
            <v>126664</v>
          </cell>
          <cell r="H33">
            <v>9785</v>
          </cell>
          <cell r="I33">
            <v>116879</v>
          </cell>
          <cell r="J33">
            <v>101260</v>
          </cell>
          <cell r="K33">
            <v>227198</v>
          </cell>
          <cell r="L33">
            <v>2523</v>
          </cell>
        </row>
        <row r="34">
          <cell r="A34" t="str">
            <v>Pennsylvania, M.</v>
          </cell>
          <cell r="B34">
            <v>4</v>
          </cell>
          <cell r="C34">
            <v>3</v>
          </cell>
          <cell r="D34">
            <v>1</v>
          </cell>
          <cell r="E34">
            <v>0</v>
          </cell>
          <cell r="F34">
            <v>9</v>
          </cell>
          <cell r="G34">
            <v>232</v>
          </cell>
          <cell r="H34">
            <v>817</v>
          </cell>
          <cell r="I34">
            <v>-585</v>
          </cell>
          <cell r="J34">
            <v>30</v>
          </cell>
          <cell r="K34">
            <v>197</v>
          </cell>
          <cell r="L34">
            <v>7</v>
          </cell>
        </row>
        <row r="35">
          <cell r="A35" t="str">
            <v>Pennsylvania, W.</v>
          </cell>
          <cell r="B35">
            <v>309</v>
          </cell>
          <cell r="C35">
            <v>8</v>
          </cell>
          <cell r="D35">
            <v>301</v>
          </cell>
          <cell r="E35">
            <v>101</v>
          </cell>
          <cell r="F35">
            <v>15</v>
          </cell>
          <cell r="G35">
            <v>685</v>
          </cell>
          <cell r="H35">
            <v>1308</v>
          </cell>
          <cell r="I35">
            <v>-623</v>
          </cell>
          <cell r="J35">
            <v>381</v>
          </cell>
          <cell r="K35">
            <v>677</v>
          </cell>
          <cell r="L35">
            <v>444</v>
          </cell>
        </row>
        <row r="36">
          <cell r="A36" t="str">
            <v>Virgin Islands</v>
          </cell>
          <cell r="B36">
            <v>0</v>
          </cell>
          <cell r="C36">
            <v>1</v>
          </cell>
          <cell r="D36">
            <v>-1</v>
          </cell>
          <cell r="E36">
            <v>0</v>
          </cell>
          <cell r="F36">
            <v>0</v>
          </cell>
          <cell r="G36">
            <v>0</v>
          </cell>
          <cell r="H36">
            <v>144</v>
          </cell>
          <cell r="I36">
            <v>-144</v>
          </cell>
          <cell r="J36">
            <v>0</v>
          </cell>
          <cell r="K36">
            <v>0</v>
          </cell>
          <cell r="L36">
            <v>0</v>
          </cell>
        </row>
        <row r="38">
          <cell r="A38" t="str">
            <v>4TH</v>
          </cell>
          <cell r="B38">
            <v>176</v>
          </cell>
          <cell r="C38">
            <v>130</v>
          </cell>
          <cell r="D38">
            <v>46</v>
          </cell>
          <cell r="E38">
            <v>1456</v>
          </cell>
          <cell r="F38">
            <v>305</v>
          </cell>
          <cell r="G38">
            <v>11047</v>
          </cell>
          <cell r="H38">
            <v>32258</v>
          </cell>
          <cell r="I38">
            <v>-21211</v>
          </cell>
          <cell r="J38">
            <v>108630</v>
          </cell>
          <cell r="K38">
            <v>115629</v>
          </cell>
          <cell r="L38">
            <v>3923</v>
          </cell>
        </row>
        <row r="39">
          <cell r="A39" t="str">
            <v>Maryland</v>
          </cell>
          <cell r="B39">
            <v>1</v>
          </cell>
          <cell r="C39">
            <v>28</v>
          </cell>
          <cell r="D39">
            <v>-27</v>
          </cell>
          <cell r="E39">
            <v>178</v>
          </cell>
          <cell r="F39">
            <v>264</v>
          </cell>
          <cell r="G39">
            <v>1752</v>
          </cell>
          <cell r="H39">
            <v>3327</v>
          </cell>
          <cell r="I39">
            <v>-1575</v>
          </cell>
          <cell r="J39">
            <v>1144</v>
          </cell>
          <cell r="K39">
            <v>2205</v>
          </cell>
          <cell r="L39">
            <v>730</v>
          </cell>
        </row>
        <row r="40">
          <cell r="A40" t="str">
            <v>North Carolina,  E.</v>
          </cell>
          <cell r="B40">
            <v>0</v>
          </cell>
          <cell r="C40">
            <v>9</v>
          </cell>
          <cell r="D40">
            <v>-9</v>
          </cell>
          <cell r="E40">
            <v>0</v>
          </cell>
          <cell r="F40">
            <v>0</v>
          </cell>
          <cell r="G40">
            <v>136</v>
          </cell>
          <cell r="H40">
            <v>1402</v>
          </cell>
          <cell r="I40">
            <v>-1266</v>
          </cell>
          <cell r="J40">
            <v>15</v>
          </cell>
          <cell r="K40">
            <v>193</v>
          </cell>
          <cell r="L40">
            <v>0</v>
          </cell>
        </row>
        <row r="41">
          <cell r="A41" t="str">
            <v>North Carolina, M.</v>
          </cell>
          <cell r="B41">
            <v>0</v>
          </cell>
          <cell r="C41">
            <v>9</v>
          </cell>
          <cell r="D41">
            <v>-9</v>
          </cell>
          <cell r="E41">
            <v>0</v>
          </cell>
          <cell r="F41">
            <v>0</v>
          </cell>
          <cell r="G41">
            <v>19</v>
          </cell>
          <cell r="H41">
            <v>1117</v>
          </cell>
          <cell r="I41">
            <v>-1098</v>
          </cell>
          <cell r="J41">
            <v>15</v>
          </cell>
          <cell r="K41">
            <v>59</v>
          </cell>
          <cell r="L41">
            <v>0</v>
          </cell>
        </row>
        <row r="42">
          <cell r="A42" t="str">
            <v>North Carolina, W.</v>
          </cell>
          <cell r="B42">
            <v>50</v>
          </cell>
          <cell r="C42">
            <v>12</v>
          </cell>
          <cell r="D42">
            <v>38</v>
          </cell>
          <cell r="E42">
            <v>2</v>
          </cell>
          <cell r="F42">
            <v>2</v>
          </cell>
          <cell r="G42">
            <v>184</v>
          </cell>
          <cell r="H42">
            <v>1968</v>
          </cell>
          <cell r="I42">
            <v>-1784</v>
          </cell>
          <cell r="J42">
            <v>145</v>
          </cell>
          <cell r="K42">
            <v>269</v>
          </cell>
          <cell r="L42">
            <v>72</v>
          </cell>
        </row>
        <row r="43">
          <cell r="A43" t="str">
            <v>South Carolina</v>
          </cell>
          <cell r="B43">
            <v>121</v>
          </cell>
          <cell r="C43">
            <v>33</v>
          </cell>
          <cell r="D43">
            <v>88</v>
          </cell>
          <cell r="E43">
            <v>1274</v>
          </cell>
          <cell r="F43">
            <v>36</v>
          </cell>
          <cell r="G43">
            <v>2545</v>
          </cell>
          <cell r="H43">
            <v>4167</v>
          </cell>
          <cell r="I43">
            <v>-1622</v>
          </cell>
          <cell r="J43">
            <v>4772</v>
          </cell>
          <cell r="K43">
            <v>5194</v>
          </cell>
          <cell r="L43">
            <v>3066</v>
          </cell>
        </row>
        <row r="44">
          <cell r="A44" t="str">
            <v>Virginia, E.</v>
          </cell>
          <cell r="B44">
            <v>4</v>
          </cell>
          <cell r="C44">
            <v>14</v>
          </cell>
          <cell r="D44">
            <v>-10</v>
          </cell>
          <cell r="E44">
            <v>2</v>
          </cell>
          <cell r="F44">
            <v>2</v>
          </cell>
          <cell r="G44">
            <v>259</v>
          </cell>
          <cell r="H44">
            <v>11985</v>
          </cell>
          <cell r="I44">
            <v>-11726</v>
          </cell>
          <cell r="J44">
            <v>124</v>
          </cell>
          <cell r="K44">
            <v>310</v>
          </cell>
          <cell r="L44">
            <v>55</v>
          </cell>
        </row>
        <row r="45">
          <cell r="A45" t="str">
            <v>Virginia, W.</v>
          </cell>
          <cell r="B45">
            <v>0</v>
          </cell>
          <cell r="C45">
            <v>6</v>
          </cell>
          <cell r="D45">
            <v>-6</v>
          </cell>
          <cell r="E45">
            <v>0</v>
          </cell>
          <cell r="F45">
            <v>0</v>
          </cell>
          <cell r="G45">
            <v>3</v>
          </cell>
          <cell r="H45">
            <v>1208</v>
          </cell>
          <cell r="I45">
            <v>-1205</v>
          </cell>
          <cell r="J45">
            <v>2</v>
          </cell>
          <cell r="K45">
            <v>30</v>
          </cell>
          <cell r="L45">
            <v>0</v>
          </cell>
        </row>
        <row r="46">
          <cell r="A46" t="str">
            <v>West Virginia, N.</v>
          </cell>
          <cell r="B46">
            <v>0</v>
          </cell>
          <cell r="C46">
            <v>5</v>
          </cell>
          <cell r="D46">
            <v>-5</v>
          </cell>
          <cell r="E46">
            <v>0</v>
          </cell>
          <cell r="F46">
            <v>1</v>
          </cell>
          <cell r="G46">
            <v>38</v>
          </cell>
          <cell r="H46">
            <v>409</v>
          </cell>
          <cell r="I46">
            <v>-371</v>
          </cell>
          <cell r="J46">
            <v>4</v>
          </cell>
          <cell r="K46">
            <v>22</v>
          </cell>
          <cell r="L46">
            <v>0</v>
          </cell>
        </row>
        <row r="47">
          <cell r="A47" t="str">
            <v>West Virginia, S.</v>
          </cell>
          <cell r="B47">
            <v>0</v>
          </cell>
          <cell r="C47">
            <v>14</v>
          </cell>
          <cell r="D47">
            <v>-14</v>
          </cell>
          <cell r="E47">
            <v>0</v>
          </cell>
          <cell r="F47">
            <v>0</v>
          </cell>
          <cell r="G47">
            <v>6111</v>
          </cell>
          <cell r="H47">
            <v>6675</v>
          </cell>
          <cell r="I47">
            <v>-564</v>
          </cell>
          <cell r="J47">
            <v>102409</v>
          </cell>
          <cell r="K47">
            <v>107347</v>
          </cell>
          <cell r="L47">
            <v>0</v>
          </cell>
        </row>
        <row r="49">
          <cell r="A49" t="str">
            <v>5TH</v>
          </cell>
          <cell r="B49">
            <v>46</v>
          </cell>
          <cell r="C49">
            <v>195</v>
          </cell>
          <cell r="D49">
            <v>-149</v>
          </cell>
          <cell r="E49">
            <v>109</v>
          </cell>
          <cell r="F49">
            <v>11330</v>
          </cell>
          <cell r="G49">
            <v>18190</v>
          </cell>
          <cell r="H49">
            <v>40476</v>
          </cell>
          <cell r="I49">
            <v>-22286</v>
          </cell>
          <cell r="J49">
            <v>72363</v>
          </cell>
          <cell r="K49">
            <v>75101</v>
          </cell>
          <cell r="L49">
            <v>14319</v>
          </cell>
        </row>
        <row r="50">
          <cell r="A50" t="str">
            <v>Louisiana, E.</v>
          </cell>
          <cell r="B50">
            <v>26</v>
          </cell>
          <cell r="C50">
            <v>54</v>
          </cell>
          <cell r="D50">
            <v>-28</v>
          </cell>
          <cell r="E50">
            <v>94</v>
          </cell>
          <cell r="F50">
            <v>6384</v>
          </cell>
          <cell r="G50">
            <v>11519</v>
          </cell>
          <cell r="H50">
            <v>3298</v>
          </cell>
          <cell r="I50">
            <v>8221</v>
          </cell>
          <cell r="J50">
            <v>58556</v>
          </cell>
          <cell r="K50">
            <v>54223</v>
          </cell>
          <cell r="L50">
            <v>13919</v>
          </cell>
        </row>
        <row r="51">
          <cell r="A51" t="str">
            <v>Louisiana, M.</v>
          </cell>
          <cell r="B51">
            <v>0</v>
          </cell>
          <cell r="C51">
            <v>9</v>
          </cell>
          <cell r="D51">
            <v>-9</v>
          </cell>
          <cell r="E51">
            <v>0</v>
          </cell>
          <cell r="F51">
            <v>0</v>
          </cell>
          <cell r="G51">
            <v>8</v>
          </cell>
          <cell r="H51">
            <v>1389</v>
          </cell>
          <cell r="I51">
            <v>-1381</v>
          </cell>
          <cell r="J51">
            <v>18</v>
          </cell>
          <cell r="K51">
            <v>90</v>
          </cell>
          <cell r="L51">
            <v>0</v>
          </cell>
        </row>
        <row r="52">
          <cell r="A52" t="str">
            <v>Louisiana, W.</v>
          </cell>
          <cell r="B52">
            <v>0</v>
          </cell>
          <cell r="C52">
            <v>29</v>
          </cell>
          <cell r="D52">
            <v>-29</v>
          </cell>
          <cell r="E52">
            <v>0</v>
          </cell>
          <cell r="F52">
            <v>0</v>
          </cell>
          <cell r="G52">
            <v>419</v>
          </cell>
          <cell r="H52">
            <v>2566</v>
          </cell>
          <cell r="I52">
            <v>-2147</v>
          </cell>
          <cell r="J52">
            <v>4807</v>
          </cell>
          <cell r="K52">
            <v>5330</v>
          </cell>
          <cell r="L52">
            <v>0</v>
          </cell>
        </row>
        <row r="53">
          <cell r="A53" t="str">
            <v>Mississippi, N.</v>
          </cell>
          <cell r="B53">
            <v>0</v>
          </cell>
          <cell r="C53">
            <v>9</v>
          </cell>
          <cell r="D53">
            <v>-9</v>
          </cell>
          <cell r="E53">
            <v>0</v>
          </cell>
          <cell r="F53">
            <v>0</v>
          </cell>
          <cell r="G53">
            <v>6</v>
          </cell>
          <cell r="H53">
            <v>1369</v>
          </cell>
          <cell r="I53">
            <v>-1363</v>
          </cell>
          <cell r="J53">
            <v>7</v>
          </cell>
          <cell r="K53">
            <v>66</v>
          </cell>
          <cell r="L53">
            <v>0</v>
          </cell>
        </row>
        <row r="54">
          <cell r="A54" t="str">
            <v>Mississippi, S.</v>
          </cell>
          <cell r="B54">
            <v>0</v>
          </cell>
          <cell r="C54">
            <v>21</v>
          </cell>
          <cell r="D54">
            <v>-21</v>
          </cell>
          <cell r="E54">
            <v>0</v>
          </cell>
          <cell r="F54">
            <v>0</v>
          </cell>
          <cell r="G54">
            <v>27</v>
          </cell>
          <cell r="H54">
            <v>6233</v>
          </cell>
          <cell r="I54">
            <v>-6206</v>
          </cell>
          <cell r="J54">
            <v>9</v>
          </cell>
          <cell r="K54">
            <v>200</v>
          </cell>
          <cell r="L54">
            <v>0</v>
          </cell>
        </row>
        <row r="55">
          <cell r="A55" t="str">
            <v>Texas, N.</v>
          </cell>
          <cell r="B55">
            <v>18</v>
          </cell>
          <cell r="C55">
            <v>14</v>
          </cell>
          <cell r="D55">
            <v>4</v>
          </cell>
          <cell r="E55">
            <v>13</v>
          </cell>
          <cell r="F55">
            <v>4943</v>
          </cell>
          <cell r="G55">
            <v>2263</v>
          </cell>
          <cell r="H55">
            <v>3913</v>
          </cell>
          <cell r="I55">
            <v>-1650</v>
          </cell>
          <cell r="J55">
            <v>7937</v>
          </cell>
          <cell r="K55">
            <v>8139</v>
          </cell>
          <cell r="L55">
            <v>387</v>
          </cell>
        </row>
        <row r="56">
          <cell r="A56" t="str">
            <v>Texas, E.</v>
          </cell>
          <cell r="B56">
            <v>2</v>
          </cell>
          <cell r="C56">
            <v>14</v>
          </cell>
          <cell r="D56">
            <v>-12</v>
          </cell>
          <cell r="E56">
            <v>2</v>
          </cell>
          <cell r="F56">
            <v>0</v>
          </cell>
          <cell r="G56">
            <v>3451</v>
          </cell>
          <cell r="H56">
            <v>8100</v>
          </cell>
          <cell r="I56">
            <v>-4649</v>
          </cell>
          <cell r="J56">
            <v>632</v>
          </cell>
          <cell r="K56">
            <v>5820</v>
          </cell>
          <cell r="L56">
            <v>4</v>
          </cell>
        </row>
        <row r="57">
          <cell r="A57" t="str">
            <v>Texas, S.</v>
          </cell>
          <cell r="B57">
            <v>0</v>
          </cell>
          <cell r="C57">
            <v>28</v>
          </cell>
          <cell r="D57">
            <v>-28</v>
          </cell>
          <cell r="E57">
            <v>0</v>
          </cell>
          <cell r="F57">
            <v>2</v>
          </cell>
          <cell r="G57">
            <v>470</v>
          </cell>
          <cell r="H57">
            <v>11944</v>
          </cell>
          <cell r="I57">
            <v>-11474</v>
          </cell>
          <cell r="J57">
            <v>382</v>
          </cell>
          <cell r="K57">
            <v>1082</v>
          </cell>
          <cell r="L57">
            <v>0</v>
          </cell>
        </row>
        <row r="58">
          <cell r="A58" t="str">
            <v>Texas, W.</v>
          </cell>
          <cell r="B58">
            <v>0</v>
          </cell>
          <cell r="C58">
            <v>17</v>
          </cell>
          <cell r="D58">
            <v>-17</v>
          </cell>
          <cell r="E58">
            <v>0</v>
          </cell>
          <cell r="F58">
            <v>1</v>
          </cell>
          <cell r="G58">
            <v>27</v>
          </cell>
          <cell r="H58">
            <v>1664</v>
          </cell>
          <cell r="I58">
            <v>-1637</v>
          </cell>
          <cell r="J58">
            <v>15</v>
          </cell>
          <cell r="K58">
            <v>151</v>
          </cell>
          <cell r="L58">
            <v>9</v>
          </cell>
        </row>
        <row r="60">
          <cell r="A60" t="str">
            <v>6TH</v>
          </cell>
          <cell r="B60">
            <v>128</v>
          </cell>
          <cell r="C60">
            <v>141</v>
          </cell>
          <cell r="D60">
            <v>-13</v>
          </cell>
          <cell r="E60">
            <v>3789</v>
          </cell>
          <cell r="F60">
            <v>400</v>
          </cell>
          <cell r="G60">
            <v>14159</v>
          </cell>
          <cell r="H60">
            <v>60347</v>
          </cell>
          <cell r="I60">
            <v>-46188</v>
          </cell>
          <cell r="J60">
            <v>41904</v>
          </cell>
          <cell r="K60">
            <v>33968</v>
          </cell>
          <cell r="L60">
            <v>21380</v>
          </cell>
        </row>
        <row r="61">
          <cell r="A61" t="str">
            <v>Kentucky, E.</v>
          </cell>
          <cell r="B61">
            <v>0</v>
          </cell>
          <cell r="C61">
            <v>9</v>
          </cell>
          <cell r="D61">
            <v>-9</v>
          </cell>
          <cell r="E61">
            <v>0</v>
          </cell>
          <cell r="F61">
            <v>1</v>
          </cell>
          <cell r="G61">
            <v>519</v>
          </cell>
          <cell r="H61">
            <v>1090</v>
          </cell>
          <cell r="I61">
            <v>-571</v>
          </cell>
          <cell r="J61">
            <v>196</v>
          </cell>
          <cell r="K61">
            <v>460</v>
          </cell>
          <cell r="L61">
            <v>240</v>
          </cell>
        </row>
        <row r="62">
          <cell r="A62" t="str">
            <v>Kentucky, W.</v>
          </cell>
          <cell r="B62">
            <v>0</v>
          </cell>
          <cell r="C62">
            <v>14</v>
          </cell>
          <cell r="D62">
            <v>-14</v>
          </cell>
          <cell r="E62">
            <v>0</v>
          </cell>
          <cell r="F62">
            <v>0</v>
          </cell>
          <cell r="G62">
            <v>616</v>
          </cell>
          <cell r="H62">
            <v>1372</v>
          </cell>
          <cell r="I62">
            <v>-756</v>
          </cell>
          <cell r="J62">
            <v>1201</v>
          </cell>
          <cell r="K62">
            <v>1909</v>
          </cell>
          <cell r="L62">
            <v>3</v>
          </cell>
        </row>
        <row r="63">
          <cell r="A63" t="str">
            <v>Michigan, E.</v>
          </cell>
          <cell r="B63">
            <v>17</v>
          </cell>
          <cell r="C63">
            <v>34</v>
          </cell>
          <cell r="D63">
            <v>-17</v>
          </cell>
          <cell r="E63">
            <v>7</v>
          </cell>
          <cell r="F63">
            <v>13</v>
          </cell>
          <cell r="G63">
            <v>718</v>
          </cell>
          <cell r="H63">
            <v>2491</v>
          </cell>
          <cell r="I63">
            <v>-1773</v>
          </cell>
          <cell r="J63">
            <v>732</v>
          </cell>
          <cell r="K63">
            <v>1157</v>
          </cell>
          <cell r="L63">
            <v>79</v>
          </cell>
        </row>
        <row r="64">
          <cell r="A64" t="str">
            <v>Michigan, W.</v>
          </cell>
          <cell r="B64">
            <v>0</v>
          </cell>
          <cell r="C64">
            <v>7</v>
          </cell>
          <cell r="D64">
            <v>-7</v>
          </cell>
          <cell r="E64">
            <v>0</v>
          </cell>
          <cell r="F64">
            <v>0</v>
          </cell>
          <cell r="G64">
            <v>22</v>
          </cell>
          <cell r="H64">
            <v>374</v>
          </cell>
          <cell r="I64">
            <v>-352</v>
          </cell>
          <cell r="J64">
            <v>21</v>
          </cell>
          <cell r="K64">
            <v>58</v>
          </cell>
          <cell r="L64">
            <v>0</v>
          </cell>
        </row>
        <row r="65">
          <cell r="A65" t="str">
            <v>Ohio, N.</v>
          </cell>
          <cell r="B65">
            <v>27</v>
          </cell>
          <cell r="C65">
            <v>28</v>
          </cell>
          <cell r="D65">
            <v>-1</v>
          </cell>
          <cell r="E65">
            <v>77</v>
          </cell>
          <cell r="F65">
            <v>187</v>
          </cell>
          <cell r="G65">
            <v>6364</v>
          </cell>
          <cell r="H65">
            <v>49674</v>
          </cell>
          <cell r="I65">
            <v>-43310</v>
          </cell>
          <cell r="J65">
            <v>20750</v>
          </cell>
          <cell r="K65">
            <v>26623</v>
          </cell>
          <cell r="L65">
            <v>3324</v>
          </cell>
        </row>
        <row r="66">
          <cell r="A66" t="str">
            <v>Ohio, S.</v>
          </cell>
          <cell r="B66">
            <v>71</v>
          </cell>
          <cell r="C66">
            <v>24</v>
          </cell>
          <cell r="D66">
            <v>47</v>
          </cell>
          <cell r="E66">
            <v>3698</v>
          </cell>
          <cell r="F66">
            <v>199</v>
          </cell>
          <cell r="G66">
            <v>5178</v>
          </cell>
          <cell r="H66">
            <v>1960</v>
          </cell>
          <cell r="I66">
            <v>3218</v>
          </cell>
          <cell r="J66">
            <v>18807</v>
          </cell>
          <cell r="K66">
            <v>2636</v>
          </cell>
          <cell r="L66">
            <v>17714</v>
          </cell>
        </row>
        <row r="67">
          <cell r="A67" t="str">
            <v>Tennesee, E.</v>
          </cell>
          <cell r="B67">
            <v>0</v>
          </cell>
          <cell r="C67">
            <v>11</v>
          </cell>
          <cell r="D67">
            <v>-11</v>
          </cell>
          <cell r="E67">
            <v>0</v>
          </cell>
          <cell r="F67">
            <v>0</v>
          </cell>
          <cell r="G67">
            <v>35</v>
          </cell>
          <cell r="H67">
            <v>1198</v>
          </cell>
          <cell r="I67">
            <v>-1163</v>
          </cell>
          <cell r="J67">
            <v>43</v>
          </cell>
          <cell r="K67">
            <v>151</v>
          </cell>
          <cell r="L67">
            <v>0</v>
          </cell>
        </row>
        <row r="68">
          <cell r="A68" t="str">
            <v>Tennesee, M.</v>
          </cell>
          <cell r="B68">
            <v>0</v>
          </cell>
          <cell r="C68">
            <v>9</v>
          </cell>
          <cell r="D68">
            <v>-9</v>
          </cell>
          <cell r="E68">
            <v>0</v>
          </cell>
          <cell r="F68">
            <v>0</v>
          </cell>
          <cell r="G68">
            <v>635</v>
          </cell>
          <cell r="H68">
            <v>1031</v>
          </cell>
          <cell r="I68">
            <v>-396</v>
          </cell>
          <cell r="J68">
            <v>81</v>
          </cell>
          <cell r="K68">
            <v>764</v>
          </cell>
          <cell r="L68">
            <v>0</v>
          </cell>
        </row>
        <row r="69">
          <cell r="A69" t="str">
            <v>Tennessee, W.</v>
          </cell>
          <cell r="B69">
            <v>13</v>
          </cell>
          <cell r="C69">
            <v>5</v>
          </cell>
          <cell r="D69">
            <v>8</v>
          </cell>
          <cell r="E69">
            <v>7</v>
          </cell>
          <cell r="F69">
            <v>0</v>
          </cell>
          <cell r="G69">
            <v>72</v>
          </cell>
          <cell r="H69">
            <v>1157</v>
          </cell>
          <cell r="I69">
            <v>-1085</v>
          </cell>
          <cell r="J69">
            <v>73</v>
          </cell>
          <cell r="K69">
            <v>210</v>
          </cell>
          <cell r="L69">
            <v>20</v>
          </cell>
        </row>
        <row r="71">
          <cell r="A71" t="str">
            <v>7TH</v>
          </cell>
          <cell r="B71">
            <v>455</v>
          </cell>
          <cell r="C71">
            <v>84</v>
          </cell>
          <cell r="D71">
            <v>371</v>
          </cell>
          <cell r="E71">
            <v>2330</v>
          </cell>
          <cell r="F71">
            <v>1131</v>
          </cell>
          <cell r="G71">
            <v>9358</v>
          </cell>
          <cell r="H71">
            <v>14073</v>
          </cell>
          <cell r="I71">
            <v>-4715</v>
          </cell>
          <cell r="J71">
            <v>35684</v>
          </cell>
          <cell r="K71">
            <v>35175</v>
          </cell>
          <cell r="L71">
            <v>10888</v>
          </cell>
        </row>
        <row r="72">
          <cell r="A72" t="str">
            <v>Illinois, N.</v>
          </cell>
          <cell r="B72">
            <v>124</v>
          </cell>
          <cell r="C72">
            <v>37</v>
          </cell>
          <cell r="D72">
            <v>87</v>
          </cell>
          <cell r="E72">
            <v>61</v>
          </cell>
          <cell r="F72">
            <v>114</v>
          </cell>
          <cell r="G72">
            <v>5181</v>
          </cell>
          <cell r="H72">
            <v>4040</v>
          </cell>
          <cell r="I72">
            <v>1141</v>
          </cell>
          <cell r="J72">
            <v>7775</v>
          </cell>
          <cell r="K72">
            <v>12703</v>
          </cell>
          <cell r="L72">
            <v>930</v>
          </cell>
        </row>
        <row r="73">
          <cell r="A73" t="str">
            <v>Illinois, E.*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9</v>
          </cell>
          <cell r="I73">
            <v>-9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Illinois, C.</v>
          </cell>
          <cell r="B74">
            <v>0</v>
          </cell>
          <cell r="C74">
            <v>5</v>
          </cell>
          <cell r="D74">
            <v>-5</v>
          </cell>
          <cell r="E74">
            <v>0</v>
          </cell>
          <cell r="F74">
            <v>0</v>
          </cell>
          <cell r="G74">
            <v>46</v>
          </cell>
          <cell r="H74">
            <v>1430</v>
          </cell>
          <cell r="I74">
            <v>-1384</v>
          </cell>
          <cell r="J74">
            <v>18</v>
          </cell>
          <cell r="K74">
            <v>108</v>
          </cell>
          <cell r="L74">
            <v>0</v>
          </cell>
        </row>
        <row r="75">
          <cell r="A75" t="str">
            <v>Illinois, S.</v>
          </cell>
          <cell r="B75">
            <v>44</v>
          </cell>
          <cell r="C75">
            <v>5</v>
          </cell>
          <cell r="D75">
            <v>39</v>
          </cell>
          <cell r="E75">
            <v>1756</v>
          </cell>
          <cell r="F75">
            <v>162</v>
          </cell>
          <cell r="G75">
            <v>1380</v>
          </cell>
          <cell r="H75">
            <v>1694</v>
          </cell>
          <cell r="I75">
            <v>-314</v>
          </cell>
          <cell r="J75">
            <v>15246</v>
          </cell>
          <cell r="K75">
            <v>14786</v>
          </cell>
          <cell r="L75">
            <v>1959</v>
          </cell>
        </row>
        <row r="76">
          <cell r="A76" t="str">
            <v>Indiana, N.</v>
          </cell>
          <cell r="B76">
            <v>0</v>
          </cell>
          <cell r="C76">
            <v>5</v>
          </cell>
          <cell r="D76">
            <v>-5</v>
          </cell>
          <cell r="E76">
            <v>0</v>
          </cell>
          <cell r="F76">
            <v>0</v>
          </cell>
          <cell r="G76">
            <v>628</v>
          </cell>
          <cell r="H76">
            <v>1910</v>
          </cell>
          <cell r="I76">
            <v>-1282</v>
          </cell>
          <cell r="J76">
            <v>2340</v>
          </cell>
          <cell r="K76">
            <v>2971</v>
          </cell>
          <cell r="L76">
            <v>0</v>
          </cell>
        </row>
        <row r="77">
          <cell r="A77" t="str">
            <v>Indiana, S.</v>
          </cell>
          <cell r="B77">
            <v>287</v>
          </cell>
          <cell r="C77">
            <v>7</v>
          </cell>
          <cell r="D77">
            <v>280</v>
          </cell>
          <cell r="E77">
            <v>513</v>
          </cell>
          <cell r="F77">
            <v>855</v>
          </cell>
          <cell r="G77">
            <v>1990</v>
          </cell>
          <cell r="H77">
            <v>3152</v>
          </cell>
          <cell r="I77">
            <v>-1162</v>
          </cell>
          <cell r="J77">
            <v>10157</v>
          </cell>
          <cell r="K77">
            <v>4275</v>
          </cell>
          <cell r="L77">
            <v>7999</v>
          </cell>
        </row>
        <row r="78">
          <cell r="A78" t="str">
            <v>Wisconsin, E.</v>
          </cell>
          <cell r="B78">
            <v>0</v>
          </cell>
          <cell r="C78">
            <v>16</v>
          </cell>
          <cell r="D78">
            <v>-16</v>
          </cell>
          <cell r="E78">
            <v>0</v>
          </cell>
          <cell r="F78">
            <v>0</v>
          </cell>
          <cell r="G78">
            <v>95</v>
          </cell>
          <cell r="H78">
            <v>1289</v>
          </cell>
          <cell r="I78">
            <v>-1194</v>
          </cell>
          <cell r="J78">
            <v>8</v>
          </cell>
          <cell r="K78">
            <v>128</v>
          </cell>
          <cell r="L78">
            <v>0</v>
          </cell>
        </row>
        <row r="79">
          <cell r="A79" t="str">
            <v>Wisconsin, W.</v>
          </cell>
          <cell r="B79">
            <v>0</v>
          </cell>
          <cell r="C79">
            <v>9</v>
          </cell>
          <cell r="D79">
            <v>-9</v>
          </cell>
          <cell r="E79">
            <v>0</v>
          </cell>
          <cell r="F79">
            <v>0</v>
          </cell>
          <cell r="G79">
            <v>38</v>
          </cell>
          <cell r="H79">
            <v>549</v>
          </cell>
          <cell r="I79">
            <v>-511</v>
          </cell>
          <cell r="J79">
            <v>140</v>
          </cell>
          <cell r="K79">
            <v>204</v>
          </cell>
          <cell r="L79">
            <v>0</v>
          </cell>
        </row>
        <row r="81">
          <cell r="A81" t="str">
            <v>8TH</v>
          </cell>
          <cell r="B81">
            <v>80</v>
          </cell>
          <cell r="C81">
            <v>799</v>
          </cell>
          <cell r="D81">
            <v>-719</v>
          </cell>
          <cell r="E81">
            <v>135</v>
          </cell>
          <cell r="F81">
            <v>113</v>
          </cell>
          <cell r="G81">
            <v>23888</v>
          </cell>
          <cell r="H81">
            <v>26458</v>
          </cell>
          <cell r="I81">
            <v>-2570</v>
          </cell>
          <cell r="J81">
            <v>18104</v>
          </cell>
          <cell r="K81">
            <v>42252</v>
          </cell>
          <cell r="L81">
            <v>5673</v>
          </cell>
        </row>
        <row r="82">
          <cell r="A82" t="str">
            <v>Arkansas, E.</v>
          </cell>
          <cell r="B82">
            <v>2</v>
          </cell>
          <cell r="C82">
            <v>14</v>
          </cell>
          <cell r="D82">
            <v>-12</v>
          </cell>
          <cell r="E82">
            <v>34</v>
          </cell>
          <cell r="F82">
            <v>1</v>
          </cell>
          <cell r="G82">
            <v>9773</v>
          </cell>
          <cell r="H82">
            <v>988</v>
          </cell>
          <cell r="I82">
            <v>8785</v>
          </cell>
          <cell r="J82">
            <v>313</v>
          </cell>
          <cell r="K82">
            <v>9981</v>
          </cell>
          <cell r="L82">
            <v>143</v>
          </cell>
        </row>
        <row r="83">
          <cell r="A83" t="str">
            <v>Arkansas, W.</v>
          </cell>
          <cell r="B83">
            <v>0</v>
          </cell>
          <cell r="C83">
            <v>2</v>
          </cell>
          <cell r="D83">
            <v>-2</v>
          </cell>
          <cell r="E83">
            <v>0</v>
          </cell>
          <cell r="F83">
            <v>0</v>
          </cell>
          <cell r="G83">
            <v>15</v>
          </cell>
          <cell r="H83">
            <v>494</v>
          </cell>
          <cell r="I83">
            <v>-479</v>
          </cell>
          <cell r="J83">
            <v>1</v>
          </cell>
          <cell r="K83">
            <v>46</v>
          </cell>
          <cell r="L83">
            <v>0</v>
          </cell>
        </row>
        <row r="84">
          <cell r="A84" t="str">
            <v>Iowa, N.</v>
          </cell>
          <cell r="B84">
            <v>0</v>
          </cell>
          <cell r="C84">
            <v>2</v>
          </cell>
          <cell r="D84">
            <v>-2</v>
          </cell>
          <cell r="E84">
            <v>0</v>
          </cell>
          <cell r="F84">
            <v>0</v>
          </cell>
          <cell r="G84">
            <v>4</v>
          </cell>
          <cell r="H84">
            <v>561</v>
          </cell>
          <cell r="I84">
            <v>-557</v>
          </cell>
          <cell r="J84">
            <v>4</v>
          </cell>
          <cell r="K84">
            <v>266</v>
          </cell>
          <cell r="L84">
            <v>0</v>
          </cell>
        </row>
        <row r="85">
          <cell r="A85" t="str">
            <v>Iowa, S.</v>
          </cell>
          <cell r="B85">
            <v>0</v>
          </cell>
          <cell r="C85">
            <v>4</v>
          </cell>
          <cell r="D85">
            <v>-4</v>
          </cell>
          <cell r="E85">
            <v>0</v>
          </cell>
          <cell r="F85">
            <v>0</v>
          </cell>
          <cell r="G85">
            <v>26</v>
          </cell>
          <cell r="H85">
            <v>1439</v>
          </cell>
          <cell r="I85">
            <v>-1413</v>
          </cell>
          <cell r="J85">
            <v>5</v>
          </cell>
          <cell r="K85">
            <v>83</v>
          </cell>
          <cell r="L85">
            <v>0</v>
          </cell>
        </row>
        <row r="86">
          <cell r="A86" t="str">
            <v>Minnesota</v>
          </cell>
          <cell r="B86">
            <v>30</v>
          </cell>
          <cell r="C86">
            <v>706</v>
          </cell>
          <cell r="D86">
            <v>-676</v>
          </cell>
          <cell r="E86">
            <v>98</v>
          </cell>
          <cell r="F86">
            <v>103</v>
          </cell>
          <cell r="G86">
            <v>10938</v>
          </cell>
          <cell r="H86">
            <v>15518</v>
          </cell>
          <cell r="I86">
            <v>-4580</v>
          </cell>
          <cell r="J86">
            <v>17553</v>
          </cell>
          <cell r="K86">
            <v>27854</v>
          </cell>
          <cell r="L86">
            <v>5382</v>
          </cell>
        </row>
        <row r="87">
          <cell r="A87" t="str">
            <v>Missouri, E.</v>
          </cell>
          <cell r="B87">
            <v>0</v>
          </cell>
          <cell r="C87">
            <v>25</v>
          </cell>
          <cell r="D87">
            <v>-25</v>
          </cell>
          <cell r="E87">
            <v>0</v>
          </cell>
          <cell r="F87">
            <v>2</v>
          </cell>
          <cell r="G87">
            <v>2723</v>
          </cell>
          <cell r="H87">
            <v>3732</v>
          </cell>
          <cell r="I87">
            <v>-1009</v>
          </cell>
          <cell r="J87">
            <v>137</v>
          </cell>
          <cell r="K87">
            <v>3016</v>
          </cell>
          <cell r="L87">
            <v>66</v>
          </cell>
        </row>
        <row r="88">
          <cell r="A88" t="str">
            <v>Missouri, W.</v>
          </cell>
          <cell r="B88">
            <v>48</v>
          </cell>
          <cell r="C88">
            <v>39</v>
          </cell>
          <cell r="D88">
            <v>9</v>
          </cell>
          <cell r="E88">
            <v>3</v>
          </cell>
          <cell r="F88">
            <v>7</v>
          </cell>
          <cell r="G88">
            <v>404</v>
          </cell>
          <cell r="H88">
            <v>1992</v>
          </cell>
          <cell r="I88">
            <v>-1588</v>
          </cell>
          <cell r="J88">
            <v>89</v>
          </cell>
          <cell r="K88">
            <v>599</v>
          </cell>
          <cell r="L88">
            <v>82</v>
          </cell>
        </row>
        <row r="89">
          <cell r="A89" t="str">
            <v>Nebraska</v>
          </cell>
          <cell r="B89">
            <v>0</v>
          </cell>
          <cell r="C89">
            <v>4</v>
          </cell>
          <cell r="D89">
            <v>-4</v>
          </cell>
          <cell r="E89">
            <v>0</v>
          </cell>
          <cell r="F89">
            <v>0</v>
          </cell>
          <cell r="G89">
            <v>5</v>
          </cell>
          <cell r="H89">
            <v>767</v>
          </cell>
          <cell r="I89">
            <v>-762</v>
          </cell>
          <cell r="J89">
            <v>2</v>
          </cell>
          <cell r="K89">
            <v>38</v>
          </cell>
          <cell r="L89" t="str">
            <v>-</v>
          </cell>
        </row>
        <row r="90">
          <cell r="A90" t="str">
            <v>North Dakota</v>
          </cell>
          <cell r="B90">
            <v>0</v>
          </cell>
          <cell r="C90">
            <v>1</v>
          </cell>
          <cell r="D90">
            <v>-1</v>
          </cell>
          <cell r="E90">
            <v>0</v>
          </cell>
          <cell r="F90">
            <v>0</v>
          </cell>
          <cell r="G90">
            <v>0</v>
          </cell>
          <cell r="H90">
            <v>434</v>
          </cell>
          <cell r="I90">
            <v>-434</v>
          </cell>
          <cell r="J90">
            <v>0</v>
          </cell>
          <cell r="K90">
            <v>13</v>
          </cell>
          <cell r="L90">
            <v>0</v>
          </cell>
        </row>
        <row r="91">
          <cell r="A91" t="str">
            <v>South Dakota</v>
          </cell>
          <cell r="B91">
            <v>0</v>
          </cell>
          <cell r="C91">
            <v>2</v>
          </cell>
          <cell r="D91">
            <v>-2</v>
          </cell>
          <cell r="E91">
            <v>0</v>
          </cell>
          <cell r="F91">
            <v>0</v>
          </cell>
          <cell r="G91">
            <v>0</v>
          </cell>
          <cell r="H91">
            <v>533</v>
          </cell>
          <cell r="I91">
            <v>-533</v>
          </cell>
          <cell r="J91">
            <v>0</v>
          </cell>
          <cell r="K91">
            <v>356</v>
          </cell>
          <cell r="L91">
            <v>0</v>
          </cell>
        </row>
        <row r="94">
          <cell r="A94" t="str">
            <v>* No longer a separate district.</v>
          </cell>
        </row>
        <row r="96">
          <cell r="A96" t="str">
            <v>9TH</v>
          </cell>
          <cell r="B96">
            <v>412</v>
          </cell>
          <cell r="C96">
            <v>306</v>
          </cell>
          <cell r="D96">
            <v>106</v>
          </cell>
          <cell r="E96">
            <v>1794</v>
          </cell>
          <cell r="F96">
            <v>995</v>
          </cell>
          <cell r="G96">
            <v>15487</v>
          </cell>
          <cell r="H96">
            <v>27194</v>
          </cell>
          <cell r="I96">
            <v>-11707</v>
          </cell>
          <cell r="J96">
            <v>33033</v>
          </cell>
          <cell r="K96">
            <v>31566</v>
          </cell>
          <cell r="L96">
            <v>9702</v>
          </cell>
        </row>
        <row r="97">
          <cell r="A97" t="str">
            <v>Alaska</v>
          </cell>
          <cell r="B97">
            <v>0</v>
          </cell>
          <cell r="C97">
            <v>2</v>
          </cell>
          <cell r="D97">
            <v>-2</v>
          </cell>
          <cell r="E97">
            <v>0</v>
          </cell>
          <cell r="F97">
            <v>0</v>
          </cell>
          <cell r="G97">
            <v>0</v>
          </cell>
          <cell r="H97">
            <v>324</v>
          </cell>
          <cell r="I97">
            <v>-324</v>
          </cell>
          <cell r="J97">
            <v>0</v>
          </cell>
          <cell r="K97">
            <v>29</v>
          </cell>
          <cell r="L97">
            <v>0</v>
          </cell>
        </row>
        <row r="98">
          <cell r="A98" t="str">
            <v>Arizona</v>
          </cell>
          <cell r="B98">
            <v>0</v>
          </cell>
          <cell r="C98">
            <v>34</v>
          </cell>
          <cell r="D98">
            <v>-34</v>
          </cell>
          <cell r="E98">
            <v>0</v>
          </cell>
          <cell r="F98">
            <v>3</v>
          </cell>
          <cell r="G98">
            <v>556</v>
          </cell>
          <cell r="H98">
            <v>2078</v>
          </cell>
          <cell r="I98">
            <v>-1522</v>
          </cell>
          <cell r="J98">
            <v>18675</v>
          </cell>
          <cell r="K98">
            <v>9072</v>
          </cell>
          <cell r="L98">
            <v>2</v>
          </cell>
        </row>
        <row r="99">
          <cell r="A99" t="str">
            <v>California, N.</v>
          </cell>
          <cell r="B99">
            <v>336</v>
          </cell>
          <cell r="C99">
            <v>66</v>
          </cell>
          <cell r="D99">
            <v>270</v>
          </cell>
          <cell r="E99">
            <v>1771</v>
          </cell>
          <cell r="F99">
            <v>477</v>
          </cell>
          <cell r="G99">
            <v>9092</v>
          </cell>
          <cell r="H99">
            <v>5440</v>
          </cell>
          <cell r="I99">
            <v>3652</v>
          </cell>
          <cell r="J99">
            <v>8759</v>
          </cell>
          <cell r="K99">
            <v>7983</v>
          </cell>
          <cell r="L99">
            <v>8737</v>
          </cell>
        </row>
        <row r="100">
          <cell r="A100" t="str">
            <v>California, E.</v>
          </cell>
          <cell r="B100">
            <v>0</v>
          </cell>
          <cell r="C100">
            <v>29</v>
          </cell>
          <cell r="D100">
            <v>-29</v>
          </cell>
          <cell r="E100">
            <v>0</v>
          </cell>
          <cell r="F100">
            <v>1</v>
          </cell>
          <cell r="G100">
            <v>12</v>
          </cell>
          <cell r="H100">
            <v>1994</v>
          </cell>
          <cell r="I100">
            <v>-1982</v>
          </cell>
          <cell r="J100">
            <v>119</v>
          </cell>
          <cell r="K100">
            <v>602</v>
          </cell>
          <cell r="L100">
            <v>0</v>
          </cell>
        </row>
        <row r="101">
          <cell r="A101" t="str">
            <v>California, C.</v>
          </cell>
          <cell r="B101">
            <v>71</v>
          </cell>
          <cell r="C101">
            <v>78</v>
          </cell>
          <cell r="D101">
            <v>-7</v>
          </cell>
          <cell r="E101">
            <v>12</v>
          </cell>
          <cell r="F101">
            <v>59</v>
          </cell>
          <cell r="G101">
            <v>2397</v>
          </cell>
          <cell r="H101">
            <v>8233</v>
          </cell>
          <cell r="I101">
            <v>-5836</v>
          </cell>
          <cell r="J101">
            <v>2127</v>
          </cell>
          <cell r="K101">
            <v>7656</v>
          </cell>
          <cell r="L101">
            <v>261</v>
          </cell>
        </row>
        <row r="102">
          <cell r="A102" t="str">
            <v>California, S.</v>
          </cell>
          <cell r="B102">
            <v>5</v>
          </cell>
          <cell r="C102">
            <v>14</v>
          </cell>
          <cell r="D102">
            <v>-9</v>
          </cell>
          <cell r="E102">
            <v>9</v>
          </cell>
          <cell r="F102">
            <v>455</v>
          </cell>
          <cell r="G102">
            <v>972</v>
          </cell>
          <cell r="H102">
            <v>2853</v>
          </cell>
          <cell r="I102">
            <v>-1881</v>
          </cell>
          <cell r="J102">
            <v>1272</v>
          </cell>
          <cell r="K102">
            <v>1451</v>
          </cell>
          <cell r="L102">
            <v>702</v>
          </cell>
        </row>
        <row r="103">
          <cell r="A103" t="str">
            <v>Hawaii</v>
          </cell>
          <cell r="B103">
            <v>0</v>
          </cell>
          <cell r="C103">
            <v>3</v>
          </cell>
          <cell r="D103">
            <v>-3</v>
          </cell>
          <cell r="E103">
            <v>0</v>
          </cell>
          <cell r="F103">
            <v>0</v>
          </cell>
          <cell r="G103">
            <v>14</v>
          </cell>
          <cell r="H103">
            <v>652</v>
          </cell>
          <cell r="I103">
            <v>-638</v>
          </cell>
          <cell r="J103">
            <v>11</v>
          </cell>
          <cell r="K103">
            <v>29</v>
          </cell>
          <cell r="L103">
            <v>0</v>
          </cell>
        </row>
        <row r="104">
          <cell r="A104" t="str">
            <v>Idaho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13</v>
          </cell>
          <cell r="H104">
            <v>565</v>
          </cell>
          <cell r="I104">
            <v>-552</v>
          </cell>
          <cell r="J104">
            <v>8</v>
          </cell>
          <cell r="K104">
            <v>35</v>
          </cell>
          <cell r="L104">
            <v>0</v>
          </cell>
        </row>
        <row r="105">
          <cell r="A105" t="str">
            <v>Montana</v>
          </cell>
          <cell r="B105">
            <v>0</v>
          </cell>
          <cell r="C105">
            <v>9</v>
          </cell>
          <cell r="D105">
            <v>-9</v>
          </cell>
          <cell r="E105">
            <v>0</v>
          </cell>
          <cell r="F105">
            <v>0</v>
          </cell>
          <cell r="G105">
            <v>4</v>
          </cell>
          <cell r="H105">
            <v>473</v>
          </cell>
          <cell r="I105">
            <v>-469</v>
          </cell>
          <cell r="J105">
            <v>5</v>
          </cell>
          <cell r="K105">
            <v>36</v>
          </cell>
          <cell r="L105">
            <v>0</v>
          </cell>
        </row>
        <row r="106">
          <cell r="A106" t="str">
            <v>Nevada</v>
          </cell>
          <cell r="B106">
            <v>0</v>
          </cell>
          <cell r="C106">
            <v>10</v>
          </cell>
          <cell r="D106">
            <v>-10</v>
          </cell>
          <cell r="E106">
            <v>0</v>
          </cell>
          <cell r="F106">
            <v>0</v>
          </cell>
          <cell r="G106">
            <v>219</v>
          </cell>
          <cell r="H106">
            <v>1281</v>
          </cell>
          <cell r="I106">
            <v>-1062</v>
          </cell>
          <cell r="J106">
            <v>369</v>
          </cell>
          <cell r="K106">
            <v>626</v>
          </cell>
          <cell r="L106">
            <v>0</v>
          </cell>
        </row>
        <row r="107">
          <cell r="A107" t="str">
            <v>Oregon</v>
          </cell>
          <cell r="B107">
            <v>0</v>
          </cell>
          <cell r="C107">
            <v>10</v>
          </cell>
          <cell r="D107">
            <v>-10</v>
          </cell>
          <cell r="E107">
            <v>2</v>
          </cell>
          <cell r="F107">
            <v>0</v>
          </cell>
          <cell r="G107">
            <v>57</v>
          </cell>
          <cell r="H107">
            <v>1298</v>
          </cell>
          <cell r="I107">
            <v>-1241</v>
          </cell>
          <cell r="J107">
            <v>39</v>
          </cell>
          <cell r="K107">
            <v>128</v>
          </cell>
          <cell r="L107">
            <v>0</v>
          </cell>
        </row>
        <row r="108">
          <cell r="A108" t="str">
            <v>Washington, E.</v>
          </cell>
          <cell r="B108">
            <v>0</v>
          </cell>
          <cell r="C108">
            <v>3</v>
          </cell>
          <cell r="D108">
            <v>-3</v>
          </cell>
          <cell r="E108">
            <v>0</v>
          </cell>
          <cell r="F108">
            <v>0</v>
          </cell>
          <cell r="G108">
            <v>4</v>
          </cell>
          <cell r="H108">
            <v>407</v>
          </cell>
          <cell r="I108">
            <v>-403</v>
          </cell>
          <cell r="J108">
            <v>3</v>
          </cell>
          <cell r="K108">
            <v>16</v>
          </cell>
          <cell r="L108">
            <v>0</v>
          </cell>
        </row>
        <row r="109">
          <cell r="A109" t="str">
            <v>Washington, W</v>
          </cell>
          <cell r="B109">
            <v>0</v>
          </cell>
          <cell r="C109">
            <v>48</v>
          </cell>
          <cell r="D109">
            <v>-48</v>
          </cell>
          <cell r="E109">
            <v>0</v>
          </cell>
          <cell r="F109">
            <v>0</v>
          </cell>
          <cell r="G109">
            <v>2147</v>
          </cell>
          <cell r="H109">
            <v>1552</v>
          </cell>
          <cell r="I109">
            <v>595</v>
          </cell>
          <cell r="J109">
            <v>1646</v>
          </cell>
          <cell r="K109">
            <v>3903</v>
          </cell>
          <cell r="L109">
            <v>0</v>
          </cell>
        </row>
        <row r="110">
          <cell r="A110" t="str">
            <v>Guam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40</v>
          </cell>
          <cell r="I110">
            <v>-40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Northern Mariana Islands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4</v>
          </cell>
          <cell r="I111">
            <v>-4</v>
          </cell>
          <cell r="J111">
            <v>0</v>
          </cell>
          <cell r="K111">
            <v>0</v>
          </cell>
          <cell r="L111">
            <v>0</v>
          </cell>
        </row>
        <row r="113">
          <cell r="A113" t="str">
            <v>10TH</v>
          </cell>
          <cell r="B113">
            <v>6</v>
          </cell>
          <cell r="C113">
            <v>70</v>
          </cell>
          <cell r="D113">
            <v>-64</v>
          </cell>
          <cell r="E113">
            <v>1</v>
          </cell>
          <cell r="F113">
            <v>3</v>
          </cell>
          <cell r="G113">
            <v>4525</v>
          </cell>
          <cell r="H113">
            <v>8498</v>
          </cell>
          <cell r="I113">
            <v>-3973</v>
          </cell>
          <cell r="J113">
            <v>443</v>
          </cell>
          <cell r="K113">
            <v>4349</v>
          </cell>
          <cell r="L113">
            <v>46</v>
          </cell>
        </row>
        <row r="114">
          <cell r="A114" t="str">
            <v>Colorado</v>
          </cell>
          <cell r="B114">
            <v>0</v>
          </cell>
          <cell r="C114">
            <v>12</v>
          </cell>
          <cell r="D114">
            <v>-12</v>
          </cell>
          <cell r="E114">
            <v>0</v>
          </cell>
          <cell r="F114">
            <v>1</v>
          </cell>
          <cell r="G114">
            <v>141</v>
          </cell>
          <cell r="H114">
            <v>1767</v>
          </cell>
          <cell r="I114">
            <v>-1626</v>
          </cell>
          <cell r="J114">
            <v>115</v>
          </cell>
          <cell r="K114">
            <v>345</v>
          </cell>
          <cell r="L114">
            <v>0</v>
          </cell>
        </row>
        <row r="115">
          <cell r="A115" t="str">
            <v>Kansas</v>
          </cell>
          <cell r="B115">
            <v>4</v>
          </cell>
          <cell r="C115">
            <v>10</v>
          </cell>
          <cell r="D115">
            <v>-6</v>
          </cell>
          <cell r="E115">
            <v>0</v>
          </cell>
          <cell r="F115">
            <v>0</v>
          </cell>
          <cell r="G115">
            <v>3869</v>
          </cell>
          <cell r="H115">
            <v>1221</v>
          </cell>
          <cell r="I115">
            <v>2648</v>
          </cell>
          <cell r="J115">
            <v>168</v>
          </cell>
          <cell r="K115">
            <v>3231</v>
          </cell>
          <cell r="L115">
            <v>3</v>
          </cell>
        </row>
        <row r="116">
          <cell r="A116" t="str">
            <v>New Mexico</v>
          </cell>
          <cell r="B116">
            <v>1</v>
          </cell>
          <cell r="C116">
            <v>14</v>
          </cell>
          <cell r="D116">
            <v>-13</v>
          </cell>
          <cell r="E116">
            <v>0</v>
          </cell>
          <cell r="F116">
            <v>1</v>
          </cell>
          <cell r="G116">
            <v>19</v>
          </cell>
          <cell r="H116">
            <v>1100</v>
          </cell>
          <cell r="I116">
            <v>-1081</v>
          </cell>
          <cell r="J116">
            <v>18</v>
          </cell>
          <cell r="K116">
            <v>52</v>
          </cell>
          <cell r="L116">
            <v>23</v>
          </cell>
        </row>
        <row r="117">
          <cell r="A117" t="str">
            <v>Oklahoma, N.</v>
          </cell>
          <cell r="B117">
            <v>1</v>
          </cell>
          <cell r="C117">
            <v>5</v>
          </cell>
          <cell r="D117">
            <v>-4</v>
          </cell>
          <cell r="E117">
            <v>0</v>
          </cell>
          <cell r="F117">
            <v>0</v>
          </cell>
          <cell r="G117">
            <v>32</v>
          </cell>
          <cell r="H117">
            <v>1131</v>
          </cell>
          <cell r="I117">
            <v>-1099</v>
          </cell>
          <cell r="J117">
            <v>37</v>
          </cell>
          <cell r="K117">
            <v>77</v>
          </cell>
          <cell r="L117">
            <v>15</v>
          </cell>
        </row>
        <row r="118">
          <cell r="A118" t="str">
            <v>Oklahoma, E.</v>
          </cell>
          <cell r="B118">
            <v>0</v>
          </cell>
          <cell r="C118">
            <v>2</v>
          </cell>
          <cell r="D118">
            <v>-2</v>
          </cell>
          <cell r="E118">
            <v>1</v>
          </cell>
          <cell r="F118">
            <v>0</v>
          </cell>
          <cell r="G118">
            <v>11</v>
          </cell>
          <cell r="H118">
            <v>310</v>
          </cell>
          <cell r="I118">
            <v>-299</v>
          </cell>
          <cell r="J118">
            <v>18</v>
          </cell>
          <cell r="K118">
            <v>33</v>
          </cell>
          <cell r="L118">
            <v>5</v>
          </cell>
        </row>
        <row r="119">
          <cell r="A119" t="str">
            <v>Oklahoma, W.</v>
          </cell>
          <cell r="B119">
            <v>0</v>
          </cell>
          <cell r="C119">
            <v>13</v>
          </cell>
          <cell r="D119">
            <v>-13</v>
          </cell>
          <cell r="E119">
            <v>0</v>
          </cell>
          <cell r="F119">
            <v>1</v>
          </cell>
          <cell r="G119">
            <v>234</v>
          </cell>
          <cell r="H119">
            <v>1310</v>
          </cell>
          <cell r="I119">
            <v>-1076</v>
          </cell>
          <cell r="J119">
            <v>55</v>
          </cell>
          <cell r="K119">
            <v>306</v>
          </cell>
          <cell r="L119">
            <v>0</v>
          </cell>
        </row>
        <row r="120">
          <cell r="A120" t="str">
            <v>Utah</v>
          </cell>
          <cell r="B120">
            <v>0</v>
          </cell>
          <cell r="C120">
            <v>14</v>
          </cell>
          <cell r="D120">
            <v>-14</v>
          </cell>
          <cell r="E120">
            <v>0</v>
          </cell>
          <cell r="F120">
            <v>0</v>
          </cell>
          <cell r="G120">
            <v>35</v>
          </cell>
          <cell r="H120">
            <v>1488</v>
          </cell>
          <cell r="I120">
            <v>-1453</v>
          </cell>
          <cell r="J120">
            <v>15</v>
          </cell>
          <cell r="K120">
            <v>102</v>
          </cell>
          <cell r="L120">
            <v>0</v>
          </cell>
        </row>
        <row r="121">
          <cell r="A121" t="str">
            <v>Wyoming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184</v>
          </cell>
          <cell r="H121">
            <v>171</v>
          </cell>
          <cell r="I121">
            <v>13</v>
          </cell>
          <cell r="J121">
            <v>17</v>
          </cell>
          <cell r="K121">
            <v>203</v>
          </cell>
          <cell r="L121">
            <v>0</v>
          </cell>
        </row>
        <row r="123">
          <cell r="A123" t="str">
            <v>11TH</v>
          </cell>
          <cell r="B123">
            <v>719</v>
          </cell>
          <cell r="C123">
            <v>191</v>
          </cell>
          <cell r="D123">
            <v>528</v>
          </cell>
          <cell r="E123">
            <v>44329</v>
          </cell>
          <cell r="F123">
            <v>45150</v>
          </cell>
          <cell r="G123">
            <v>34958</v>
          </cell>
          <cell r="H123">
            <v>21113</v>
          </cell>
          <cell r="I123">
            <v>13845</v>
          </cell>
          <cell r="J123">
            <v>339629</v>
          </cell>
          <cell r="K123">
            <v>108363</v>
          </cell>
          <cell r="L123">
            <v>262684</v>
          </cell>
        </row>
        <row r="124">
          <cell r="A124" t="str">
            <v>Alabama, N.</v>
          </cell>
          <cell r="B124">
            <v>2</v>
          </cell>
          <cell r="C124">
            <v>19</v>
          </cell>
          <cell r="D124">
            <v>-17</v>
          </cell>
          <cell r="E124">
            <v>1</v>
          </cell>
          <cell r="F124">
            <v>1</v>
          </cell>
          <cell r="G124">
            <v>26723</v>
          </cell>
          <cell r="H124">
            <v>3132</v>
          </cell>
          <cell r="I124">
            <v>23591</v>
          </cell>
          <cell r="J124">
            <v>3915</v>
          </cell>
          <cell r="K124">
            <v>30777</v>
          </cell>
          <cell r="L124">
            <v>22</v>
          </cell>
        </row>
        <row r="125">
          <cell r="A125" t="str">
            <v>Alabama, M.</v>
          </cell>
          <cell r="B125">
            <v>0</v>
          </cell>
          <cell r="C125">
            <v>7</v>
          </cell>
          <cell r="D125">
            <v>-7</v>
          </cell>
          <cell r="E125">
            <v>0</v>
          </cell>
          <cell r="F125">
            <v>0</v>
          </cell>
          <cell r="G125">
            <v>19</v>
          </cell>
          <cell r="H125">
            <v>871</v>
          </cell>
          <cell r="I125">
            <v>-852</v>
          </cell>
          <cell r="J125">
            <v>7</v>
          </cell>
          <cell r="K125">
            <v>99</v>
          </cell>
          <cell r="L125">
            <v>0</v>
          </cell>
        </row>
        <row r="126">
          <cell r="A126" t="str">
            <v>Alabama, S.</v>
          </cell>
          <cell r="B126">
            <v>0</v>
          </cell>
          <cell r="C126">
            <v>13</v>
          </cell>
          <cell r="D126">
            <v>-13</v>
          </cell>
          <cell r="E126">
            <v>0</v>
          </cell>
          <cell r="F126">
            <v>1</v>
          </cell>
          <cell r="G126">
            <v>25</v>
          </cell>
          <cell r="H126">
            <v>857</v>
          </cell>
          <cell r="I126">
            <v>-832</v>
          </cell>
          <cell r="J126">
            <v>106</v>
          </cell>
          <cell r="K126">
            <v>233</v>
          </cell>
          <cell r="L126">
            <v>0</v>
          </cell>
        </row>
        <row r="127">
          <cell r="A127" t="str">
            <v>Florida, N.</v>
          </cell>
          <cell r="B127">
            <v>619</v>
          </cell>
          <cell r="C127">
            <v>20</v>
          </cell>
          <cell r="D127">
            <v>599</v>
          </cell>
          <cell r="E127">
            <v>42130</v>
          </cell>
          <cell r="F127">
            <v>44924</v>
          </cell>
          <cell r="G127">
            <v>2430</v>
          </cell>
          <cell r="H127">
            <v>1124</v>
          </cell>
          <cell r="I127">
            <v>1306</v>
          </cell>
          <cell r="J127">
            <v>317378</v>
          </cell>
          <cell r="K127">
            <v>61427</v>
          </cell>
          <cell r="L127">
            <v>255151</v>
          </cell>
        </row>
        <row r="128">
          <cell r="A128" t="str">
            <v>Florida, M.</v>
          </cell>
          <cell r="B128">
            <v>10</v>
          </cell>
          <cell r="C128">
            <v>49</v>
          </cell>
          <cell r="D128">
            <v>-39</v>
          </cell>
          <cell r="E128">
            <v>2</v>
          </cell>
          <cell r="F128">
            <v>21</v>
          </cell>
          <cell r="G128">
            <v>1566</v>
          </cell>
          <cell r="H128">
            <v>5302</v>
          </cell>
          <cell r="I128">
            <v>-3736</v>
          </cell>
          <cell r="J128">
            <v>7796</v>
          </cell>
          <cell r="K128">
            <v>9356</v>
          </cell>
          <cell r="L128">
            <v>65</v>
          </cell>
        </row>
        <row r="129">
          <cell r="A129" t="str">
            <v>Florida, S.</v>
          </cell>
          <cell r="B129">
            <v>57</v>
          </cell>
          <cell r="C129">
            <v>35</v>
          </cell>
          <cell r="D129">
            <v>22</v>
          </cell>
          <cell r="E129">
            <v>1189</v>
          </cell>
          <cell r="F129">
            <v>118</v>
          </cell>
          <cell r="G129">
            <v>1860</v>
          </cell>
          <cell r="H129">
            <v>4180</v>
          </cell>
          <cell r="I129">
            <v>-2320</v>
          </cell>
          <cell r="J129">
            <v>4044</v>
          </cell>
          <cell r="K129">
            <v>3621</v>
          </cell>
          <cell r="L129">
            <v>2361</v>
          </cell>
        </row>
        <row r="130">
          <cell r="A130" t="str">
            <v>Georgia, N.</v>
          </cell>
          <cell r="B130">
            <v>31</v>
          </cell>
          <cell r="C130">
            <v>28</v>
          </cell>
          <cell r="D130">
            <v>3</v>
          </cell>
          <cell r="E130">
            <v>1007</v>
          </cell>
          <cell r="F130">
            <v>85</v>
          </cell>
          <cell r="G130">
            <v>1914</v>
          </cell>
          <cell r="H130">
            <v>3003</v>
          </cell>
          <cell r="I130">
            <v>-1089</v>
          </cell>
          <cell r="J130">
            <v>5867</v>
          </cell>
          <cell r="K130">
            <v>1910</v>
          </cell>
          <cell r="L130">
            <v>5085</v>
          </cell>
        </row>
        <row r="131">
          <cell r="A131" t="str">
            <v>Georgia, M.</v>
          </cell>
          <cell r="B131">
            <v>0</v>
          </cell>
          <cell r="C131">
            <v>12</v>
          </cell>
          <cell r="D131">
            <v>-12</v>
          </cell>
          <cell r="E131">
            <v>0</v>
          </cell>
          <cell r="F131">
            <v>0</v>
          </cell>
          <cell r="G131">
            <v>418</v>
          </cell>
          <cell r="H131">
            <v>834</v>
          </cell>
          <cell r="I131">
            <v>-416</v>
          </cell>
          <cell r="J131">
            <v>513</v>
          </cell>
          <cell r="K131">
            <v>924</v>
          </cell>
          <cell r="L131">
            <v>0</v>
          </cell>
        </row>
        <row r="132">
          <cell r="A132" t="str">
            <v>Georgia, S.</v>
          </cell>
          <cell r="B132">
            <v>0</v>
          </cell>
          <cell r="C132">
            <v>8</v>
          </cell>
          <cell r="D132">
            <v>-8</v>
          </cell>
          <cell r="E132">
            <v>0</v>
          </cell>
          <cell r="F132">
            <v>0</v>
          </cell>
          <cell r="G132">
            <v>3</v>
          </cell>
          <cell r="H132">
            <v>1810</v>
          </cell>
          <cell r="I132">
            <v>-1807</v>
          </cell>
          <cell r="J132">
            <v>3</v>
          </cell>
          <cell r="K132">
            <v>16</v>
          </cell>
          <cell r="L132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90A0D-F06F-4972-8551-E50AD4F240B3}">
  <sheetPr>
    <pageSetUpPr fitToPage="1"/>
  </sheetPr>
  <dimension ref="A1:K126"/>
  <sheetViews>
    <sheetView showGridLines="0" tabSelected="1" zoomScaleNormal="100" zoomScaleSheetLayoutView="85" workbookViewId="0">
      <selection activeCell="O9" sqref="O9"/>
    </sheetView>
  </sheetViews>
  <sheetFormatPr defaultColWidth="9.109375" defaultRowHeight="10.199999999999999" x14ac:dyDescent="0.2"/>
  <cols>
    <col min="1" max="1" width="12" style="1" customWidth="1"/>
    <col min="2" max="2" width="15.6640625" style="1" customWidth="1"/>
    <col min="3" max="3" width="3.6640625" style="1" customWidth="1"/>
    <col min="4" max="4" width="15.6640625" style="1" customWidth="1"/>
    <col min="5" max="5" width="3.6640625" style="1" customWidth="1"/>
    <col min="6" max="6" width="15.6640625" style="1" customWidth="1"/>
    <col min="7" max="7" width="3.6640625" style="1" customWidth="1"/>
    <col min="8" max="8" width="15.6640625" style="1" customWidth="1"/>
    <col min="9" max="9" width="3.6640625" style="1" customWidth="1"/>
    <col min="10" max="10" width="15.6640625" style="1" customWidth="1"/>
    <col min="11" max="11" width="3.6640625" style="1" customWidth="1"/>
    <col min="12" max="16384" width="9.109375" style="1"/>
  </cols>
  <sheetData>
    <row r="1" spans="1:11" ht="13.5" customHeight="1" x14ac:dyDescent="0.2"/>
    <row r="2" spans="1:11" ht="13.5" customHeight="1" x14ac:dyDescent="0.25">
      <c r="A2" s="15" t="s">
        <v>113</v>
      </c>
    </row>
    <row r="3" spans="1:11" ht="13.5" customHeight="1" x14ac:dyDescent="0.25">
      <c r="A3" s="15" t="s">
        <v>112</v>
      </c>
    </row>
    <row r="4" spans="1:11" ht="13.5" customHeight="1" x14ac:dyDescent="0.25">
      <c r="A4" s="15" t="str">
        <f>"Cumulative From September 1968 Through September 30, "&amp;RIGHT('[1]Raw Data - S-19'!$G$1,4)</f>
        <v>Cumulative From September 1968 Through September 30, 2022</v>
      </c>
    </row>
    <row r="5" spans="1:11" ht="13.5" customHeight="1" x14ac:dyDescent="0.2"/>
    <row r="6" spans="1:11" ht="18" customHeight="1" x14ac:dyDescent="0.2">
      <c r="A6" s="11" t="s">
        <v>39</v>
      </c>
      <c r="B6" s="13" t="str">
        <f>"12 Months Ending September 30, "&amp;RIGHT('[1]Raw Data - S-19'!$G$1,4)</f>
        <v>12 Months Ending September 30, 2022</v>
      </c>
      <c r="C6" s="13"/>
      <c r="D6" s="13"/>
      <c r="E6" s="13"/>
      <c r="F6" s="14" t="str">
        <f>"Cumulative 1968 - "&amp;RIGHT('[1]Raw Data - S-19'!$G$1,4)</f>
        <v>Cumulative 1968 - 2022</v>
      </c>
      <c r="G6" s="13"/>
      <c r="H6" s="13"/>
      <c r="I6" s="13"/>
      <c r="J6" s="12" t="s">
        <v>38</v>
      </c>
      <c r="K6" s="11"/>
    </row>
    <row r="7" spans="1:11" ht="18" customHeight="1" x14ac:dyDescent="0.2">
      <c r="A7" s="6"/>
      <c r="B7" s="9" t="s">
        <v>37</v>
      </c>
      <c r="C7" s="10"/>
      <c r="D7" s="9" t="s">
        <v>36</v>
      </c>
      <c r="E7" s="8"/>
      <c r="F7" s="9" t="s">
        <v>37</v>
      </c>
      <c r="G7" s="10"/>
      <c r="H7" s="9" t="s">
        <v>36</v>
      </c>
      <c r="I7" s="8"/>
      <c r="J7" s="7"/>
      <c r="K7" s="6"/>
    </row>
    <row r="8" spans="1:11" ht="13.5" customHeight="1" x14ac:dyDescent="0.2">
      <c r="A8" s="5" t="s">
        <v>111</v>
      </c>
      <c r="B8" s="4">
        <f>IF(VLOOKUP("TOTAL",'[1]Raw Data - S-19'!$A$9:$L$135,2,FALSE)-SUM(B9,B10,B16,B23,B30,B45,B55,B65,B74,B90,B106,B115)=0,VLOOKUP("TOTAL",'[1]Raw Data - S-19'!$A$9:$L$135,2,FALSE),"ERROR")</f>
        <v>2520</v>
      </c>
      <c r="C8" s="4"/>
      <c r="D8" s="4">
        <f>IF(VLOOKUP("TOTAL",'[1]Raw Data - S-19'!$A$9:$L$135,3,FALSE)-SUM(D9,D10,D16,D23,D30,D45,D55,D65,D74,D90,D106,D115)=0,VLOOKUP("TOTAL",'[1]Raw Data - S-19'!$A$9:$L$135,3,FALSE),"ERROR")</f>
        <v>2520</v>
      </c>
      <c r="E8" s="4"/>
      <c r="F8" s="4">
        <f>IF(VLOOKUP("TOTAL",'[1]Raw Data - S-19'!$A$9:$L$135,7,FALSE)-SUM(F9,F10,F16,F23,F30,F45,F55,F65,F74,F90,F106,F115)=0,VLOOKUP("TOTAL",'[1]Raw Data - S-19'!$A$9:$L$135,7,FALSE),"ERROR")</f>
        <v>283917</v>
      </c>
      <c r="G8" s="4"/>
      <c r="H8" s="4">
        <f>IF(VLOOKUP("TOTAL",'[1]Raw Data - S-19'!$A$9:$L$135,8,FALSE)-SUM(H9,H10,H16,H23,H30,H45,H55,H65,H74,H90,H106,H115)=0,VLOOKUP("TOTAL",'[1]Raw Data - S-19'!$A$9:$L$135,8,FALSE),"ERROR")</f>
        <v>283917</v>
      </c>
      <c r="I8" s="4"/>
      <c r="J8" s="4">
        <f>IF(VLOOKUP("TOTAL",'[1]Raw Data - S-19'!$A$9:$L$135,12,FALSE)-SUM(J9,J10,J16,J23,J30,J45,J55,J65,J74,J90,J106,J115)=0,VLOOKUP("TOTAL",'[1]Raw Data - S-19'!$A$9:$L$135,12,FALSE),"ERROR")</f>
        <v>392374</v>
      </c>
      <c r="K8" s="4"/>
    </row>
    <row r="9" spans="1:11" ht="17.25" customHeight="1" x14ac:dyDescent="0.2">
      <c r="A9" s="1" t="s">
        <v>110</v>
      </c>
      <c r="B9" s="3">
        <f>VLOOKUP("District of Columbia",'[1]Raw Data - S-19'!$A$9:$L$135,2,FALSE)</f>
        <v>1</v>
      </c>
      <c r="C9" s="3"/>
      <c r="D9" s="3">
        <f>VLOOKUP("District of Columbia",'[1]Raw Data - S-19'!$A$9:$L$135,3,FALSE)</f>
        <v>58</v>
      </c>
      <c r="E9" s="3"/>
      <c r="F9" s="3">
        <f>VLOOKUP("District of Columbia",'[1]Raw Data - S-19'!$A$9:$L$135,7,FALSE)</f>
        <v>2449</v>
      </c>
      <c r="G9" s="3"/>
      <c r="H9" s="3">
        <f>VLOOKUP("District of Columbia",'[1]Raw Data - S-19'!$A$9:$L$135,8,FALSE)</f>
        <v>2598</v>
      </c>
      <c r="I9" s="3"/>
      <c r="J9" s="3">
        <f>VLOOKUP("District of Columbia",'[1]Raw Data - S-19'!$A$9:$L$135,12,FALSE)</f>
        <v>225</v>
      </c>
      <c r="K9" s="3"/>
    </row>
    <row r="10" spans="1:11" ht="16.5" customHeight="1" x14ac:dyDescent="0.2">
      <c r="A10" s="5" t="s">
        <v>109</v>
      </c>
      <c r="B10" s="4">
        <f>IF(VLOOKUP("1ST",'[1]Raw Data - S-19'!$A$9:$L$135,2,FALSE)-SUM(B11:B15)=0,VLOOKUP("1ST",'[1]Raw Data - S-19'!$A$9:$L$135,2,FALSE),"ERROR")</f>
        <v>23</v>
      </c>
      <c r="C10" s="4"/>
      <c r="D10" s="4">
        <f>IF(VLOOKUP("1ST",'[1]Raw Data - S-19'!$A$9:$L$135,3,FALSE)-SUM(D11:D15)=0,VLOOKUP("1ST",'[1]Raw Data - S-19'!$A$9:$L$135,3,FALSE),"ERROR")</f>
        <v>114</v>
      </c>
      <c r="E10" s="4"/>
      <c r="F10" s="4">
        <f>IF(VLOOKUP("1ST",'[1]Raw Data - S-19'!$A$9:$L$135,7,FALSE)-SUM(F11:F15)=0,VLOOKUP("1ST",'[1]Raw Data - S-19'!$A$9:$L$135,7,FALSE),"ERROR")</f>
        <v>4610</v>
      </c>
      <c r="G10" s="4"/>
      <c r="H10" s="4">
        <f>IF(VLOOKUP("1ST",'[1]Raw Data - S-19'!$A$9:$L$135,8,FALSE)-SUM(H11:H15)=0,VLOOKUP("1ST",'[1]Raw Data - S-19'!$A$9:$L$135,8,FALSE),"ERROR")</f>
        <v>7545</v>
      </c>
      <c r="I10" s="4"/>
      <c r="J10" s="4">
        <f>IF(VLOOKUP("1ST",'[1]Raw Data - S-19'!$A$9:$L$135,12,FALSE)-SUM(J11:J15)=0,VLOOKUP("1ST",'[1]Raw Data - S-19'!$A$9:$L$135,12,FALSE),"ERROR")</f>
        <v>4048</v>
      </c>
      <c r="K10" s="4"/>
    </row>
    <row r="11" spans="1:11" ht="13.5" customHeight="1" x14ac:dyDescent="0.2">
      <c r="A11" s="1" t="s">
        <v>108</v>
      </c>
      <c r="B11" s="3">
        <f>VLOOKUP("Maine",'[1]Raw Data - S-19'!$A$9:$L$135,2,FALSE)</f>
        <v>0</v>
      </c>
      <c r="C11" s="3"/>
      <c r="D11" s="3">
        <f>VLOOKUP("Maine",'[1]Raw Data - S-19'!$A$9:$L$135,3,FALSE)</f>
        <v>9</v>
      </c>
      <c r="E11" s="3"/>
      <c r="F11" s="3">
        <f>VLOOKUP("Maine",'[1]Raw Data - S-19'!$A$9:$L$135,7,FALSE)</f>
        <v>132</v>
      </c>
      <c r="G11" s="3"/>
      <c r="H11" s="3">
        <f>VLOOKUP("Maine",'[1]Raw Data - S-19'!$A$9:$L$135,8,FALSE)</f>
        <v>925</v>
      </c>
      <c r="I11" s="3"/>
      <c r="J11" s="3">
        <f>VLOOKUP("Maine",'[1]Raw Data - S-19'!$A$9:$L$135,12,FALSE)</f>
        <v>0</v>
      </c>
      <c r="K11" s="3"/>
    </row>
    <row r="12" spans="1:11" ht="13.5" customHeight="1" x14ac:dyDescent="0.2">
      <c r="A12" s="1" t="s">
        <v>107</v>
      </c>
      <c r="B12" s="3">
        <f>VLOOKUP("Massachusetts",'[1]Raw Data - S-19'!$A$9:$L$135,2,FALSE)</f>
        <v>17</v>
      </c>
      <c r="C12" s="3"/>
      <c r="D12" s="3">
        <f>VLOOKUP("Massachusetts",'[1]Raw Data - S-19'!$A$9:$L$135,3,FALSE)</f>
        <v>65</v>
      </c>
      <c r="E12" s="3"/>
      <c r="F12" s="3">
        <f>VLOOKUP("Massachusetts",'[1]Raw Data - S-19'!$A$9:$L$135,7,FALSE)</f>
        <v>2185</v>
      </c>
      <c r="G12" s="3"/>
      <c r="H12" s="3">
        <f>VLOOKUP("Massachusetts",'[1]Raw Data - S-19'!$A$9:$L$135,8,FALSE)</f>
        <v>5019</v>
      </c>
      <c r="I12" s="3"/>
      <c r="J12" s="3">
        <f>VLOOKUP("Massachusetts",'[1]Raw Data - S-19'!$A$9:$L$135,12,FALSE)</f>
        <v>736</v>
      </c>
      <c r="K12" s="3"/>
    </row>
    <row r="13" spans="1:11" ht="13.5" customHeight="1" x14ac:dyDescent="0.2">
      <c r="A13" s="1" t="s">
        <v>106</v>
      </c>
      <c r="B13" s="3">
        <f>VLOOKUP("New Hampshire",'[1]Raw Data - S-19'!$A$9:$L$135,2,FALSE)</f>
        <v>6</v>
      </c>
      <c r="C13" s="3"/>
      <c r="D13" s="3">
        <f>VLOOKUP("New Hampshire",'[1]Raw Data - S-19'!$A$9:$L$135,3,FALSE)</f>
        <v>13</v>
      </c>
      <c r="E13" s="3"/>
      <c r="F13" s="3">
        <f>VLOOKUP("New Hampshire",'[1]Raw Data - S-19'!$A$9:$L$135,7,FALSE)</f>
        <v>191</v>
      </c>
      <c r="G13" s="3"/>
      <c r="H13" s="3">
        <f>VLOOKUP("New Hampshire",'[1]Raw Data - S-19'!$A$9:$L$135,8,FALSE)</f>
        <v>504</v>
      </c>
      <c r="I13" s="3"/>
      <c r="J13" s="3">
        <f>VLOOKUP("New Hampshire",'[1]Raw Data - S-19'!$A$9:$L$135,12,FALSE)</f>
        <v>3312</v>
      </c>
      <c r="K13" s="3"/>
    </row>
    <row r="14" spans="1:11" ht="13.5" customHeight="1" x14ac:dyDescent="0.2">
      <c r="A14" s="1" t="s">
        <v>105</v>
      </c>
      <c r="B14" s="3">
        <f>VLOOKUP("Rhode Island",'[1]Raw Data - S-19'!$A$9:$L$135,2,FALSE)</f>
        <v>0</v>
      </c>
      <c r="C14" s="3"/>
      <c r="D14" s="3">
        <f>VLOOKUP("Rhode Island",'[1]Raw Data - S-19'!$A$9:$L$135,3,FALSE)</f>
        <v>16</v>
      </c>
      <c r="E14" s="3"/>
      <c r="F14" s="3">
        <f>VLOOKUP("Rhode Island",'[1]Raw Data - S-19'!$A$9:$L$135,7,FALSE)</f>
        <v>2032</v>
      </c>
      <c r="G14" s="3"/>
      <c r="H14" s="3">
        <f>VLOOKUP("Rhode Island",'[1]Raw Data - S-19'!$A$9:$L$135,8,FALSE)</f>
        <v>727</v>
      </c>
      <c r="I14" s="3"/>
      <c r="J14" s="3">
        <f>VLOOKUP("Rhode Island",'[1]Raw Data - S-19'!$A$9:$L$135,12,FALSE)</f>
        <v>0</v>
      </c>
      <c r="K14" s="3"/>
    </row>
    <row r="15" spans="1:11" ht="13.5" customHeight="1" x14ac:dyDescent="0.2">
      <c r="A15" s="1" t="s">
        <v>104</v>
      </c>
      <c r="B15" s="3">
        <f>VLOOKUP("Puerto Rico",'[1]Raw Data - S-19'!$A$9:$L$135,2,FALSE)</f>
        <v>0</v>
      </c>
      <c r="C15" s="3"/>
      <c r="D15" s="3">
        <f>VLOOKUP("Puerto Rico",'[1]Raw Data - S-19'!$A$9:$L$135,3,FALSE)</f>
        <v>11</v>
      </c>
      <c r="E15" s="3"/>
      <c r="F15" s="3">
        <f>VLOOKUP("Puerto Rico",'[1]Raw Data - S-19'!$A$9:$L$135,7,FALSE)</f>
        <v>70</v>
      </c>
      <c r="G15" s="3"/>
      <c r="H15" s="3">
        <f>VLOOKUP("Puerto Rico",'[1]Raw Data - S-19'!$A$9:$L$135,8,FALSE)</f>
        <v>370</v>
      </c>
      <c r="I15" s="3"/>
      <c r="J15" s="3">
        <f>VLOOKUP("Puerto Rico",'[1]Raw Data - S-19'!$A$9:$L$135,12,FALSE)</f>
        <v>0</v>
      </c>
      <c r="K15" s="3"/>
    </row>
    <row r="16" spans="1:11" ht="16.5" customHeight="1" x14ac:dyDescent="0.2">
      <c r="A16" s="5" t="s">
        <v>103</v>
      </c>
      <c r="B16" s="4">
        <f>IF(VLOOKUP("2ND",'[1]Raw Data - S-19'!$A$9:$L$135,2,FALSE)-SUM(B17:B22)=0,VLOOKUP("2ND",'[1]Raw Data - S-19'!$A$9:$L$135,2,FALSE),"ERROR")</f>
        <v>44</v>
      </c>
      <c r="C16" s="4"/>
      <c r="D16" s="4">
        <f>IF(VLOOKUP("2ND",'[1]Raw Data - S-19'!$A$9:$L$135,3,FALSE)-SUM(D17:D22)=0,VLOOKUP("2ND",'[1]Raw Data - S-19'!$A$9:$L$135,3,FALSE),"ERROR")</f>
        <v>169</v>
      </c>
      <c r="E16" s="4"/>
      <c r="F16" s="4">
        <f>IF(VLOOKUP("2ND",'[1]Raw Data - S-19'!$A$9:$L$135,7,FALSE)-SUM(F17:F22)=0,VLOOKUP("2ND",'[1]Raw Data - S-19'!$A$9:$L$135,7,FALSE),"ERROR")</f>
        <v>11864</v>
      </c>
      <c r="G16" s="4"/>
      <c r="H16" s="4">
        <f>IF(VLOOKUP("2ND",'[1]Raw Data - S-19'!$A$9:$L$135,8,FALSE)-SUM(H17:H22)=0,VLOOKUP("2ND",'[1]Raw Data - S-19'!$A$9:$L$135,8,FALSE),"ERROR")</f>
        <v>23054</v>
      </c>
      <c r="I16" s="4"/>
      <c r="J16" s="4">
        <f>IF(VLOOKUP("2ND",'[1]Raw Data - S-19'!$A$9:$L$135,12,FALSE)-SUM(J17:J22)=0,VLOOKUP("2ND",'[1]Raw Data - S-19'!$A$9:$L$135,12,FALSE),"ERROR")</f>
        <v>1183</v>
      </c>
      <c r="K16" s="4"/>
    </row>
    <row r="17" spans="1:11" ht="13.5" customHeight="1" x14ac:dyDescent="0.2">
      <c r="A17" s="1" t="s">
        <v>102</v>
      </c>
      <c r="B17" s="3">
        <f>VLOOKUP("Connecticut",'[1]Raw Data - S-19'!$A$9:$L$135,2,FALSE)</f>
        <v>0</v>
      </c>
      <c r="C17" s="3"/>
      <c r="D17" s="3">
        <f>VLOOKUP("Connecticut",'[1]Raw Data - S-19'!$A$9:$L$135,3,FALSE)</f>
        <v>21</v>
      </c>
      <c r="E17" s="3"/>
      <c r="F17" s="3">
        <f>VLOOKUP("Connecticut",'[1]Raw Data - S-19'!$A$9:$L$135,7,FALSE)</f>
        <v>532</v>
      </c>
      <c r="G17" s="3"/>
      <c r="H17" s="3">
        <f>VLOOKUP("Connecticut",'[1]Raw Data - S-19'!$A$9:$L$135,8,FALSE)</f>
        <v>2642</v>
      </c>
      <c r="I17" s="3"/>
      <c r="J17" s="3">
        <f>VLOOKUP("Connecticut",'[1]Raw Data - S-19'!$A$9:$L$135,12,FALSE)</f>
        <v>0</v>
      </c>
      <c r="K17" s="3"/>
    </row>
    <row r="18" spans="1:11" ht="13.5" customHeight="1" x14ac:dyDescent="0.2">
      <c r="A18" s="1" t="s">
        <v>101</v>
      </c>
      <c r="B18" s="3">
        <f>VLOOKUP("New York, N.",'[1]Raw Data - S-19'!$A$9:$L$135,2,FALSE)</f>
        <v>0</v>
      </c>
      <c r="C18" s="3"/>
      <c r="D18" s="3">
        <f>VLOOKUP("New York, N.",'[1]Raw Data - S-19'!$A$9:$L$135,3,FALSE)</f>
        <v>20</v>
      </c>
      <c r="E18" s="3"/>
      <c r="F18" s="3">
        <f>VLOOKUP("New York, N.",'[1]Raw Data - S-19'!$A$9:$L$135,7,FALSE)</f>
        <v>14</v>
      </c>
      <c r="G18" s="3"/>
      <c r="H18" s="3">
        <f>VLOOKUP("New York, N.",'[1]Raw Data - S-19'!$A$9:$L$135,8,FALSE)</f>
        <v>1207</v>
      </c>
      <c r="I18" s="3"/>
      <c r="J18" s="3">
        <f>VLOOKUP("New York, N.",'[1]Raw Data - S-19'!$A$9:$L$135,12,FALSE)</f>
        <v>0</v>
      </c>
      <c r="K18" s="3"/>
    </row>
    <row r="19" spans="1:11" ht="13.5" customHeight="1" x14ac:dyDescent="0.2">
      <c r="A19" s="1" t="s">
        <v>100</v>
      </c>
      <c r="B19" s="3">
        <f>VLOOKUP("New York, E.",'[1]Raw Data - S-19'!$A$9:$L$135,2,FALSE)</f>
        <v>0</v>
      </c>
      <c r="C19" s="3"/>
      <c r="D19" s="3">
        <f>VLOOKUP("New York, E.",'[1]Raw Data - S-19'!$A$9:$L$135,3,FALSE)</f>
        <v>28</v>
      </c>
      <c r="E19" s="3"/>
      <c r="F19" s="3">
        <f>VLOOKUP("New York, E.",'[1]Raw Data - S-19'!$A$9:$L$135,7,FALSE)</f>
        <v>3344</v>
      </c>
      <c r="G19" s="3"/>
      <c r="H19" s="3">
        <f>VLOOKUP("New York, E.",'[1]Raw Data - S-19'!$A$9:$L$135,8,FALSE)</f>
        <v>5212</v>
      </c>
      <c r="I19" s="3"/>
      <c r="J19" s="3">
        <f>VLOOKUP("New York, E.",'[1]Raw Data - S-19'!$A$9:$L$135,12,FALSE)</f>
        <v>91</v>
      </c>
      <c r="K19" s="3"/>
    </row>
    <row r="20" spans="1:11" ht="13.5" customHeight="1" x14ac:dyDescent="0.2">
      <c r="A20" s="1" t="s">
        <v>99</v>
      </c>
      <c r="B20" s="3">
        <f>VLOOKUP("New York, S.",'[1]Raw Data - S-19'!$A$9:$L$135,2,FALSE)</f>
        <v>44</v>
      </c>
      <c r="C20" s="3"/>
      <c r="D20" s="3">
        <f>VLOOKUP("New York, S.",'[1]Raw Data - S-19'!$A$9:$L$135,3,FALSE)</f>
        <v>75</v>
      </c>
      <c r="E20" s="3"/>
      <c r="F20" s="3">
        <f>VLOOKUP("New York, S.",'[1]Raw Data - S-19'!$A$9:$L$135,7,FALSE)</f>
        <v>7946</v>
      </c>
      <c r="G20" s="3"/>
      <c r="H20" s="3">
        <f>VLOOKUP("New York, S.",'[1]Raw Data - S-19'!$A$9:$L$135,8,FALSE)</f>
        <v>11682</v>
      </c>
      <c r="I20" s="3"/>
      <c r="J20" s="3">
        <f>VLOOKUP("New York, S.",'[1]Raw Data - S-19'!$A$9:$L$135,12,FALSE)</f>
        <v>1076</v>
      </c>
      <c r="K20" s="3"/>
    </row>
    <row r="21" spans="1:11" ht="13.5" customHeight="1" x14ac:dyDescent="0.2">
      <c r="A21" s="1" t="s">
        <v>98</v>
      </c>
      <c r="B21" s="3">
        <f>VLOOKUP("New York, W.",'[1]Raw Data - S-19'!$A$9:$L$135,2,FALSE)</f>
        <v>0</v>
      </c>
      <c r="C21" s="3"/>
      <c r="D21" s="3">
        <f>VLOOKUP("New York, W.",'[1]Raw Data - S-19'!$A$9:$L$135,3,FALSE)</f>
        <v>23</v>
      </c>
      <c r="E21" s="3"/>
      <c r="F21" s="3">
        <f>VLOOKUP("New York, W.",'[1]Raw Data - S-19'!$A$9:$L$135,7,FALSE)</f>
        <v>28</v>
      </c>
      <c r="G21" s="3"/>
      <c r="H21" s="3">
        <f>VLOOKUP("New York, W.",'[1]Raw Data - S-19'!$A$9:$L$135,8,FALSE)</f>
        <v>2153</v>
      </c>
      <c r="I21" s="3"/>
      <c r="J21" s="3">
        <f>VLOOKUP("New York, W.",'[1]Raw Data - S-19'!$A$9:$L$135,12,FALSE)</f>
        <v>16</v>
      </c>
      <c r="K21" s="3"/>
    </row>
    <row r="22" spans="1:11" ht="13.5" customHeight="1" x14ac:dyDescent="0.2">
      <c r="A22" s="1" t="s">
        <v>97</v>
      </c>
      <c r="B22" s="3">
        <f>VLOOKUP("Vermont",'[1]Raw Data - S-19'!$A$9:$L$135,2,FALSE)</f>
        <v>0</v>
      </c>
      <c r="C22" s="3"/>
      <c r="D22" s="3">
        <f>VLOOKUP("Vermont",'[1]Raw Data - S-19'!$A$9:$L$135,3,FALSE)</f>
        <v>2</v>
      </c>
      <c r="E22" s="3"/>
      <c r="F22" s="3">
        <f>VLOOKUP("Vermont",'[1]Raw Data - S-19'!$A$9:$L$135,7,FALSE)</f>
        <v>0</v>
      </c>
      <c r="G22" s="3"/>
      <c r="H22" s="3">
        <f>VLOOKUP("Vermont",'[1]Raw Data - S-19'!$A$9:$L$135,8,FALSE)</f>
        <v>158</v>
      </c>
      <c r="I22" s="3"/>
      <c r="J22" s="3">
        <f>VLOOKUP("Vermont",'[1]Raw Data - S-19'!$A$9:$L$135,12,FALSE)</f>
        <v>0</v>
      </c>
      <c r="K22" s="3"/>
    </row>
    <row r="23" spans="1:11" ht="16.5" customHeight="1" x14ac:dyDescent="0.2">
      <c r="A23" s="5" t="s">
        <v>96</v>
      </c>
      <c r="B23" s="4">
        <f>IF(VLOOKUP("3RD",'[1]Raw Data - S-19'!$A$9:$L$135,2,FALSE)-SUM(B24:B29)=0,VLOOKUP("3RD",'[1]Raw Data - S-19'!$A$9:$L$135,2,FALSE),"ERROR")</f>
        <v>430</v>
      </c>
      <c r="C23" s="4"/>
      <c r="D23" s="4">
        <f>IF(VLOOKUP("3RD",'[1]Raw Data - S-19'!$A$9:$L$135,3,FALSE)-SUM(D24:D29)=0,VLOOKUP("3RD",'[1]Raw Data - S-19'!$A$9:$L$135,3,FALSE),"ERROR")</f>
        <v>263</v>
      </c>
      <c r="E23" s="4"/>
      <c r="F23" s="4">
        <f>IF(VLOOKUP("3RD",'[1]Raw Data - S-19'!$A$9:$L$135,7,FALSE)-SUM(F24:F29)=0,VLOOKUP("3RD",'[1]Raw Data - S-19'!$A$9:$L$135,7,FALSE),"ERROR")</f>
        <v>133382</v>
      </c>
      <c r="G23" s="4"/>
      <c r="H23" s="4">
        <f>IF(VLOOKUP("3RD",'[1]Raw Data - S-19'!$A$9:$L$135,8,FALSE)-SUM(H24:H29)=0,VLOOKUP("3RD",'[1]Raw Data - S-19'!$A$9:$L$135,8,FALSE),"ERROR")</f>
        <v>20303</v>
      </c>
      <c r="I23" s="4"/>
      <c r="J23" s="4">
        <f>IF(VLOOKUP("3RD",'[1]Raw Data - S-19'!$A$9:$L$135,12,FALSE)-SUM(J24:J29)=0,VLOOKUP("3RD",'[1]Raw Data - S-19'!$A$9:$L$135,12,FALSE),"ERROR")</f>
        <v>58303</v>
      </c>
      <c r="K23" s="4"/>
    </row>
    <row r="24" spans="1:11" ht="13.5" customHeight="1" x14ac:dyDescent="0.2">
      <c r="A24" s="1" t="s">
        <v>95</v>
      </c>
      <c r="B24" s="3">
        <f>VLOOKUP("Delaware",'[1]Raw Data - S-19'!$A$9:$L$135,2,FALSE)</f>
        <v>6</v>
      </c>
      <c r="C24" s="3"/>
      <c r="D24" s="3">
        <f>VLOOKUP("Delaware",'[1]Raw Data - S-19'!$A$9:$L$135,3,FALSE)</f>
        <v>78</v>
      </c>
      <c r="E24" s="3"/>
      <c r="F24" s="3">
        <f>VLOOKUP("Delaware",'[1]Raw Data - S-19'!$A$9:$L$135,7,FALSE)</f>
        <v>198</v>
      </c>
      <c r="G24" s="3"/>
      <c r="H24" s="3">
        <f>VLOOKUP("Delaware",'[1]Raw Data - S-19'!$A$9:$L$135,8,FALSE)</f>
        <v>1028</v>
      </c>
      <c r="I24" s="3"/>
      <c r="J24" s="3">
        <f>VLOOKUP("Delaware",'[1]Raw Data - S-19'!$A$9:$L$135,12,FALSE)</f>
        <v>63</v>
      </c>
      <c r="K24" s="3"/>
    </row>
    <row r="25" spans="1:11" ht="13.5" customHeight="1" x14ac:dyDescent="0.2">
      <c r="A25" s="1" t="s">
        <v>94</v>
      </c>
      <c r="B25" s="3">
        <f>VLOOKUP("New Jersey",'[1]Raw Data - S-19'!$A$9:$L$135,2,FALSE)</f>
        <v>79</v>
      </c>
      <c r="C25" s="3"/>
      <c r="D25" s="3">
        <f>VLOOKUP("New Jersey",'[1]Raw Data - S-19'!$A$9:$L$135,3,FALSE)</f>
        <v>101</v>
      </c>
      <c r="E25" s="3"/>
      <c r="F25" s="3">
        <f>VLOOKUP("New Jersey",'[1]Raw Data - S-19'!$A$9:$L$135,7,FALSE)</f>
        <v>5603</v>
      </c>
      <c r="G25" s="3"/>
      <c r="H25" s="3">
        <f>VLOOKUP("New Jersey",'[1]Raw Data - S-19'!$A$9:$L$135,8,FALSE)</f>
        <v>7221</v>
      </c>
      <c r="I25" s="3"/>
      <c r="J25" s="3">
        <f>VLOOKUP("New Jersey",'[1]Raw Data - S-19'!$A$9:$L$135,12,FALSE)</f>
        <v>55266</v>
      </c>
      <c r="K25" s="3"/>
    </row>
    <row r="26" spans="1:11" ht="13.5" customHeight="1" x14ac:dyDescent="0.2">
      <c r="A26" s="1" t="s">
        <v>93</v>
      </c>
      <c r="B26" s="3">
        <f>VLOOKUP("Pennsylvania, E.",'[1]Raw Data - S-19'!$A$9:$L$135,2,FALSE)</f>
        <v>32</v>
      </c>
      <c r="C26" s="3"/>
      <c r="D26" s="3">
        <f>VLOOKUP("Pennsylvania, E.",'[1]Raw Data - S-19'!$A$9:$L$135,3,FALSE)</f>
        <v>72</v>
      </c>
      <c r="E26" s="3"/>
      <c r="F26" s="3">
        <f>VLOOKUP("Pennsylvania, E.",'[1]Raw Data - S-19'!$A$9:$L$135,7,FALSE)</f>
        <v>126664</v>
      </c>
      <c r="G26" s="3"/>
      <c r="H26" s="3">
        <f>VLOOKUP("Pennsylvania, E.",'[1]Raw Data - S-19'!$A$9:$L$135,8,FALSE)</f>
        <v>9785</v>
      </c>
      <c r="I26" s="3"/>
      <c r="J26" s="3">
        <f>VLOOKUP("Pennsylvania, E.",'[1]Raw Data - S-19'!$A$9:$L$135,12,FALSE)</f>
        <v>2523</v>
      </c>
      <c r="K26" s="3"/>
    </row>
    <row r="27" spans="1:11" ht="13.5" customHeight="1" x14ac:dyDescent="0.2">
      <c r="A27" s="1" t="s">
        <v>92</v>
      </c>
      <c r="B27" s="3">
        <f>VLOOKUP("Pennsylvania, M.",'[1]Raw Data - S-19'!$A$9:$L$135,2,FALSE)</f>
        <v>4</v>
      </c>
      <c r="C27" s="3"/>
      <c r="D27" s="3">
        <f>VLOOKUP("Pennsylvania, M.",'[1]Raw Data - S-19'!$A$9:$L$135,3,FALSE)</f>
        <v>3</v>
      </c>
      <c r="E27" s="3"/>
      <c r="F27" s="3">
        <f>VLOOKUP("Pennsylvania, M.",'[1]Raw Data - S-19'!$A$9:$L$135,7,FALSE)</f>
        <v>232</v>
      </c>
      <c r="G27" s="3"/>
      <c r="H27" s="3">
        <f>VLOOKUP("Pennsylvania, M.",'[1]Raw Data - S-19'!$A$9:$L$135,8,FALSE)</f>
        <v>817</v>
      </c>
      <c r="I27" s="3"/>
      <c r="J27" s="3">
        <f>VLOOKUP("Pennsylvania, M.",'[1]Raw Data - S-19'!$A$9:$L$135,12,FALSE)</f>
        <v>7</v>
      </c>
      <c r="K27" s="3"/>
    </row>
    <row r="28" spans="1:11" ht="13.5" customHeight="1" x14ac:dyDescent="0.2">
      <c r="A28" s="1" t="s">
        <v>91</v>
      </c>
      <c r="B28" s="3">
        <f>VLOOKUP("Pennsylvania, W.",'[1]Raw Data - S-19'!$A$9:$L$135,2,FALSE)</f>
        <v>309</v>
      </c>
      <c r="C28" s="3"/>
      <c r="D28" s="3">
        <f>VLOOKUP("Pennsylvania, W.",'[1]Raw Data - S-19'!$A$9:$L$135,3,FALSE)</f>
        <v>8</v>
      </c>
      <c r="E28" s="3"/>
      <c r="F28" s="3">
        <f>VLOOKUP("Pennsylvania, W.",'[1]Raw Data - S-19'!$A$9:$L$135,7,FALSE)</f>
        <v>685</v>
      </c>
      <c r="G28" s="3"/>
      <c r="H28" s="3">
        <f>VLOOKUP("Pennsylvania, W.",'[1]Raw Data - S-19'!$A$9:$L$135,8,FALSE)</f>
        <v>1308</v>
      </c>
      <c r="I28" s="3"/>
      <c r="J28" s="3">
        <f>VLOOKUP("Pennsylvania, W.",'[1]Raw Data - S-19'!$A$9:$L$135,12,FALSE)</f>
        <v>444</v>
      </c>
      <c r="K28" s="3"/>
    </row>
    <row r="29" spans="1:11" ht="13.5" customHeight="1" x14ac:dyDescent="0.2">
      <c r="A29" s="1" t="s">
        <v>90</v>
      </c>
      <c r="B29" s="3">
        <f>VLOOKUP("Virgin Islands",'[1]Raw Data - S-19'!$A$9:$L$135,2,FALSE)</f>
        <v>0</v>
      </c>
      <c r="C29" s="3"/>
      <c r="D29" s="3">
        <f>VLOOKUP("Virgin Islands",'[1]Raw Data - S-19'!$A$9:$L$135,3,FALSE)</f>
        <v>1</v>
      </c>
      <c r="E29" s="3"/>
      <c r="F29" s="3">
        <f>VLOOKUP("Virgin Islands",'[1]Raw Data - S-19'!$A$9:$L$135,7,FALSE)</f>
        <v>0</v>
      </c>
      <c r="G29" s="3"/>
      <c r="H29" s="3">
        <f>VLOOKUP("Virgin Islands",'[1]Raw Data - S-19'!$A$9:$L$135,8,FALSE)</f>
        <v>144</v>
      </c>
      <c r="I29" s="3"/>
      <c r="J29" s="3">
        <f>VLOOKUP("Virgin Islands",'[1]Raw Data - S-19'!$A$9:$L$135,12,FALSE)</f>
        <v>0</v>
      </c>
      <c r="K29" s="3"/>
    </row>
    <row r="30" spans="1:11" ht="16.5" customHeight="1" x14ac:dyDescent="0.2">
      <c r="A30" s="5" t="s">
        <v>89</v>
      </c>
      <c r="B30" s="4">
        <f>IF(VLOOKUP("4TH",'[1]Raw Data - S-19'!$A$9:$L$135,2,FALSE)-SUM(B31:B39)=0,VLOOKUP("4TH",'[1]Raw Data - S-19'!$A$9:$L$135,2,FALSE),"ERROR")</f>
        <v>176</v>
      </c>
      <c r="C30" s="4"/>
      <c r="D30" s="4">
        <f>IF(VLOOKUP("4TH",'[1]Raw Data - S-19'!$A$9:$L$135,3,FALSE)-SUM(D31:D39)=0,VLOOKUP("4TH",'[1]Raw Data - S-19'!$A$9:$L$135,3,FALSE),"ERROR")</f>
        <v>130</v>
      </c>
      <c r="E30" s="4"/>
      <c r="F30" s="4">
        <f>IF(VLOOKUP("4TH",'[1]Raw Data - S-19'!$A$9:$L$135,7,FALSE)-SUM(F31:F39)=0,VLOOKUP("4TH",'[1]Raw Data - S-19'!$A$9:$L$135,7,FALSE),"ERROR")</f>
        <v>11047</v>
      </c>
      <c r="G30" s="4"/>
      <c r="H30" s="4">
        <f>IF(VLOOKUP("4TH",'[1]Raw Data - S-19'!$A$9:$L$135,8,FALSE)-SUM(H31:H39)=0,VLOOKUP("4TH",'[1]Raw Data - S-19'!$A$9:$L$135,8,FALSE),"ERROR")</f>
        <v>32258</v>
      </c>
      <c r="I30" s="4"/>
      <c r="J30" s="4">
        <f>IF(VLOOKUP("4TH",'[1]Raw Data - S-19'!$A$9:$L$135,12,FALSE)-SUM(J31:J39)=0,VLOOKUP("4TH",'[1]Raw Data - S-19'!$A$9:$L$135,12,FALSE),"ERROR")</f>
        <v>3923</v>
      </c>
      <c r="K30" s="4"/>
    </row>
    <row r="31" spans="1:11" ht="13.5" customHeight="1" x14ac:dyDescent="0.2">
      <c r="A31" s="1" t="s">
        <v>88</v>
      </c>
      <c r="B31" s="3">
        <f>VLOOKUP("Maryland",'[1]Raw Data - S-19'!$A$9:$L$135,2,FALSE)</f>
        <v>1</v>
      </c>
      <c r="C31" s="3"/>
      <c r="D31" s="3">
        <f>VLOOKUP("Maryland",'[1]Raw Data - S-19'!$A$9:$L$135,3,FALSE)</f>
        <v>28</v>
      </c>
      <c r="E31" s="3"/>
      <c r="F31" s="3">
        <f>VLOOKUP("Maryland",'[1]Raw Data - S-19'!$A$9:$L$135,7,FALSE)</f>
        <v>1752</v>
      </c>
      <c r="G31" s="3"/>
      <c r="H31" s="3">
        <f>VLOOKUP("Maryland",'[1]Raw Data - S-19'!$A$9:$L$135,8,FALSE)</f>
        <v>3327</v>
      </c>
      <c r="I31" s="3"/>
      <c r="J31" s="3">
        <f>VLOOKUP("Maryland",'[1]Raw Data - S-19'!$A$9:$L$135,12,FALSE)</f>
        <v>730</v>
      </c>
      <c r="K31" s="3"/>
    </row>
    <row r="32" spans="1:11" ht="13.5" customHeight="1" x14ac:dyDescent="0.2">
      <c r="A32" s="1" t="s">
        <v>87</v>
      </c>
      <c r="B32" s="3">
        <f>VLOOKUP("North Carolina,  E.",'[1]Raw Data - S-19'!$A$9:$L$135,2,FALSE)</f>
        <v>0</v>
      </c>
      <c r="C32" s="3"/>
      <c r="D32" s="3">
        <f>VLOOKUP("North Carolina,  E.",'[1]Raw Data - S-19'!$A$9:$L$135,3,FALSE)</f>
        <v>9</v>
      </c>
      <c r="E32" s="3"/>
      <c r="F32" s="3">
        <f>VLOOKUP("North Carolina,  E.",'[1]Raw Data - S-19'!$A$9:$L$135,7,FALSE)</f>
        <v>136</v>
      </c>
      <c r="G32" s="3"/>
      <c r="H32" s="3">
        <f>VLOOKUP("North Carolina,  E.",'[1]Raw Data - S-19'!$A$9:$L$135,8,FALSE)</f>
        <v>1402</v>
      </c>
      <c r="I32" s="3"/>
      <c r="J32" s="3">
        <f>VLOOKUP("North Carolina,  E.",'[1]Raw Data - S-19'!$A$9:$L$135,12,FALSE)</f>
        <v>0</v>
      </c>
      <c r="K32" s="3"/>
    </row>
    <row r="33" spans="1:11" ht="13.5" customHeight="1" x14ac:dyDescent="0.2">
      <c r="A33" s="1" t="s">
        <v>86</v>
      </c>
      <c r="B33" s="3">
        <f>VLOOKUP("North Carolina, M.",'[1]Raw Data - S-19'!$A$9:$L$135,2,FALSE)</f>
        <v>0</v>
      </c>
      <c r="C33" s="3"/>
      <c r="D33" s="3">
        <f>VLOOKUP("North Carolina, M.",'[1]Raw Data - S-19'!$A$9:$L$135,3,FALSE)</f>
        <v>9</v>
      </c>
      <c r="E33" s="3"/>
      <c r="F33" s="3">
        <f>VLOOKUP("North Carolina, M.",'[1]Raw Data - S-19'!$A$9:$L$135,7,FALSE)</f>
        <v>19</v>
      </c>
      <c r="G33" s="3"/>
      <c r="H33" s="3">
        <f>VLOOKUP("North Carolina, M.",'[1]Raw Data - S-19'!$A$9:$L$135,8,FALSE)</f>
        <v>1117</v>
      </c>
      <c r="I33" s="3"/>
      <c r="J33" s="3">
        <f>VLOOKUP("North Carolina, M.",'[1]Raw Data - S-19'!$A$9:$L$135,12,FALSE)</f>
        <v>0</v>
      </c>
      <c r="K33" s="3"/>
    </row>
    <row r="34" spans="1:11" x14ac:dyDescent="0.2">
      <c r="A34" s="1" t="s">
        <v>85</v>
      </c>
      <c r="B34" s="3">
        <f>VLOOKUP("North Carolina, W.",'[1]Raw Data - S-19'!$A$9:$L$135,2,FALSE)</f>
        <v>50</v>
      </c>
      <c r="C34" s="3"/>
      <c r="D34" s="3">
        <f>VLOOKUP("North Carolina, W.",'[1]Raw Data - S-19'!$A$9:$L$135,3,FALSE)</f>
        <v>12</v>
      </c>
      <c r="E34" s="3"/>
      <c r="F34" s="3">
        <f>VLOOKUP("North Carolina, W.",'[1]Raw Data - S-19'!$A$9:$L$135,7,FALSE)</f>
        <v>184</v>
      </c>
      <c r="G34" s="3"/>
      <c r="H34" s="3">
        <f>VLOOKUP("North Carolina, W.",'[1]Raw Data - S-19'!$A$9:$L$135,8,FALSE)</f>
        <v>1968</v>
      </c>
      <c r="I34" s="3"/>
      <c r="J34" s="3">
        <f>VLOOKUP("North Carolina, W.",'[1]Raw Data - S-19'!$A$9:$L$135,12,FALSE)</f>
        <v>72</v>
      </c>
      <c r="K34" s="3"/>
    </row>
    <row r="35" spans="1:11" x14ac:dyDescent="0.2">
      <c r="A35" s="1" t="s">
        <v>84</v>
      </c>
      <c r="B35" s="3">
        <f>VLOOKUP("South Carolina",'[1]Raw Data - S-19'!$A$9:$L$135,2,FALSE)</f>
        <v>121</v>
      </c>
      <c r="C35" s="3"/>
      <c r="D35" s="3">
        <f>VLOOKUP("South Carolina",'[1]Raw Data - S-19'!$A$9:$L$135,3,FALSE)</f>
        <v>33</v>
      </c>
      <c r="E35" s="3"/>
      <c r="F35" s="3">
        <f>VLOOKUP("South Carolina",'[1]Raw Data - S-19'!$A$9:$L$135,7,FALSE)</f>
        <v>2545</v>
      </c>
      <c r="G35" s="3"/>
      <c r="H35" s="3">
        <f>VLOOKUP("South Carolina",'[1]Raw Data - S-19'!$A$9:$L$135,8,FALSE)</f>
        <v>4167</v>
      </c>
      <c r="I35" s="3"/>
      <c r="J35" s="3">
        <f>VLOOKUP("South Carolina",'[1]Raw Data - S-19'!$A$9:$L$135,12,FALSE)</f>
        <v>3066</v>
      </c>
      <c r="K35" s="3"/>
    </row>
    <row r="36" spans="1:11" x14ac:dyDescent="0.2">
      <c r="A36" s="1" t="s">
        <v>83</v>
      </c>
      <c r="B36" s="3">
        <f>VLOOKUP("Virginia, E.",'[1]Raw Data - S-19'!$A$9:$L$135,2,FALSE)</f>
        <v>4</v>
      </c>
      <c r="C36" s="3"/>
      <c r="D36" s="3">
        <f>VLOOKUP("Virginia, E.",'[1]Raw Data - S-19'!$A$9:$L$135,3,FALSE)</f>
        <v>14</v>
      </c>
      <c r="E36" s="3"/>
      <c r="F36" s="3">
        <f>VLOOKUP("Virginia, E.",'[1]Raw Data - S-19'!$A$9:$L$135,7,FALSE)</f>
        <v>259</v>
      </c>
      <c r="G36" s="3"/>
      <c r="H36" s="3">
        <f>VLOOKUP("Virginia, E.",'[1]Raw Data - S-19'!$A$9:$L$135,8,FALSE)</f>
        <v>11985</v>
      </c>
      <c r="I36" s="3"/>
      <c r="J36" s="3">
        <f>VLOOKUP("Virginia, E.",'[1]Raw Data - S-19'!$A$9:$L$135,12,FALSE)</f>
        <v>55</v>
      </c>
      <c r="K36" s="3"/>
    </row>
    <row r="37" spans="1:11" x14ac:dyDescent="0.2">
      <c r="A37" s="1" t="s">
        <v>82</v>
      </c>
      <c r="B37" s="3">
        <f>VLOOKUP("Virginia, W.",'[1]Raw Data - S-19'!$A$9:$L$135,2,FALSE)</f>
        <v>0</v>
      </c>
      <c r="C37" s="3"/>
      <c r="D37" s="3">
        <f>VLOOKUP("Virginia, W.",'[1]Raw Data - S-19'!$A$9:$L$135,3,FALSE)</f>
        <v>6</v>
      </c>
      <c r="E37" s="3"/>
      <c r="F37" s="3">
        <f>VLOOKUP("Virginia, W.",'[1]Raw Data - S-19'!$A$9:$L$135,7,FALSE)</f>
        <v>3</v>
      </c>
      <c r="G37" s="3"/>
      <c r="H37" s="3">
        <f>VLOOKUP("Virginia, W.",'[1]Raw Data - S-19'!$A$9:$L$135,8,FALSE)</f>
        <v>1208</v>
      </c>
      <c r="I37" s="3"/>
      <c r="J37" s="3">
        <f>VLOOKUP("Virginia, W.",'[1]Raw Data - S-19'!$A$9:$L$135,12,FALSE)</f>
        <v>0</v>
      </c>
      <c r="K37" s="3"/>
    </row>
    <row r="38" spans="1:11" x14ac:dyDescent="0.2">
      <c r="A38" s="1" t="s">
        <v>81</v>
      </c>
      <c r="B38" s="3">
        <f>VLOOKUP("West Virginia, N.",'[1]Raw Data - S-19'!$A$9:$L$135,2,FALSE)</f>
        <v>0</v>
      </c>
      <c r="C38" s="3"/>
      <c r="D38" s="3">
        <f>VLOOKUP("West Virginia, N.",'[1]Raw Data - S-19'!$A$9:$L$135,3,FALSE)</f>
        <v>5</v>
      </c>
      <c r="E38" s="3"/>
      <c r="F38" s="3">
        <f>VLOOKUP("West Virginia, N.",'[1]Raw Data - S-19'!$A$9:$L$135,7,FALSE)</f>
        <v>38</v>
      </c>
      <c r="G38" s="3"/>
      <c r="H38" s="3">
        <f>VLOOKUP("West Virginia, N.",'[1]Raw Data - S-19'!$A$9:$L$135,8,FALSE)</f>
        <v>409</v>
      </c>
      <c r="I38" s="3"/>
      <c r="J38" s="3">
        <f>VLOOKUP("West Virginia, N.",'[1]Raw Data - S-19'!$A$9:$L$135,12,FALSE)</f>
        <v>0</v>
      </c>
      <c r="K38" s="3"/>
    </row>
    <row r="39" spans="1:11" x14ac:dyDescent="0.2">
      <c r="A39" s="1" t="s">
        <v>80</v>
      </c>
      <c r="B39" s="3">
        <f>VLOOKUP("West Virginia, S.",'[1]Raw Data - S-19'!$A$9:$L$135,2,FALSE)</f>
        <v>0</v>
      </c>
      <c r="C39" s="3"/>
      <c r="D39" s="3">
        <f>VLOOKUP("West Virginia, S.",'[1]Raw Data - S-19'!$A$9:$L$135,3,FALSE)</f>
        <v>14</v>
      </c>
      <c r="E39" s="3"/>
      <c r="F39" s="3">
        <f>VLOOKUP("West Virginia, S.",'[1]Raw Data - S-19'!$A$9:$L$135,7,FALSE)</f>
        <v>6111</v>
      </c>
      <c r="G39" s="3"/>
      <c r="H39" s="3">
        <f>VLOOKUP("West Virginia, S.",'[1]Raw Data - S-19'!$A$9:$L$135,8,FALSE)</f>
        <v>6675</v>
      </c>
      <c r="I39" s="3"/>
      <c r="J39" s="3">
        <f>VLOOKUP("West Virginia, S.",'[1]Raw Data - S-19'!$A$9:$L$135,12,FALSE)</f>
        <v>0</v>
      </c>
      <c r="K39" s="3"/>
    </row>
    <row r="40" spans="1:11" ht="13.5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3.5" customHeight="1" x14ac:dyDescent="0.25">
      <c r="A41" s="15" t="str">
        <f>"Table S-19. (September 30, "&amp;RIGHT('[1]Raw Data - S-19'!$G$1,4)&amp;"—Continued)"</f>
        <v>Table S-19. (September 30, 2022—Continued)</v>
      </c>
    </row>
    <row r="42" spans="1:11" ht="13.5" customHeight="1" x14ac:dyDescent="0.2"/>
    <row r="43" spans="1:11" ht="18" customHeight="1" x14ac:dyDescent="0.2">
      <c r="A43" s="11" t="s">
        <v>39</v>
      </c>
      <c r="B43" s="13" t="str">
        <f>"12 Months Ending September 30, "&amp;RIGHT('[1]Raw Data - S-19'!$G$1,4)</f>
        <v>12 Months Ending September 30, 2022</v>
      </c>
      <c r="C43" s="13"/>
      <c r="D43" s="13"/>
      <c r="E43" s="13"/>
      <c r="F43" s="14" t="str">
        <f>"Cumulative 1968 - "&amp;RIGHT('[1]Raw Data - S-19'!$G$1,4)</f>
        <v>Cumulative 1968 - 2022</v>
      </c>
      <c r="G43" s="13"/>
      <c r="H43" s="13"/>
      <c r="I43" s="13"/>
      <c r="J43" s="12" t="s">
        <v>38</v>
      </c>
      <c r="K43" s="11"/>
    </row>
    <row r="44" spans="1:11" ht="18" customHeight="1" x14ac:dyDescent="0.2">
      <c r="A44" s="6"/>
      <c r="B44" s="9" t="s">
        <v>37</v>
      </c>
      <c r="C44" s="10"/>
      <c r="D44" s="9" t="s">
        <v>36</v>
      </c>
      <c r="E44" s="8"/>
      <c r="F44" s="9" t="s">
        <v>37</v>
      </c>
      <c r="G44" s="10"/>
      <c r="H44" s="9" t="s">
        <v>36</v>
      </c>
      <c r="I44" s="8"/>
      <c r="J44" s="7"/>
      <c r="K44" s="6"/>
    </row>
    <row r="45" spans="1:11" ht="13.5" customHeight="1" x14ac:dyDescent="0.2">
      <c r="A45" s="5" t="s">
        <v>79</v>
      </c>
      <c r="B45" s="4">
        <f>IF(VLOOKUP("5TH",'[1]Raw Data - S-19'!$A$9:$L$135,2,FALSE)-SUM(B46:B54)=0,VLOOKUP("5TH",'[1]Raw Data - S-19'!$A$9:$L$135,2,FALSE),"ERROR")</f>
        <v>46</v>
      </c>
      <c r="C45" s="4"/>
      <c r="D45" s="4">
        <f>IF(VLOOKUP("5TH",'[1]Raw Data - S-19'!$A$9:$L$135,3,FALSE)-SUM(D46:D54)=0,VLOOKUP("5TH",'[1]Raw Data - S-19'!$A$9:$L$135,3,FALSE),"ERROR")</f>
        <v>195</v>
      </c>
      <c r="E45" s="4"/>
      <c r="F45" s="4">
        <f>IF(VLOOKUP("5TH",'[1]Raw Data - S-19'!$A$9:$L$135,7,FALSE)-SUM(F46:F54)=0,VLOOKUP("5TH",'[1]Raw Data - S-19'!$A$9:$L$135,7,FALSE),"ERROR")</f>
        <v>18190</v>
      </c>
      <c r="G45" s="4"/>
      <c r="H45" s="4">
        <f>IF(VLOOKUP("5TH",'[1]Raw Data - S-19'!$A$9:$L$135,8,FALSE)-SUM(H46:H54)=0,VLOOKUP("5TH",'[1]Raw Data - S-19'!$A$9:$L$135,8,FALSE),"ERROR")</f>
        <v>40476</v>
      </c>
      <c r="I45" s="4"/>
      <c r="J45" s="4">
        <f>IF(VLOOKUP("5TH",'[1]Raw Data - S-19'!$A$9:$L$135,12,FALSE)-SUM(J46:J54)=0,VLOOKUP("5TH",'[1]Raw Data - S-19'!$A$9:$L$135,12,FALSE),"ERROR")</f>
        <v>14319</v>
      </c>
      <c r="K45" s="4"/>
    </row>
    <row r="46" spans="1:11" x14ac:dyDescent="0.2">
      <c r="A46" s="1" t="s">
        <v>78</v>
      </c>
      <c r="B46" s="3">
        <f>VLOOKUP("Louisiana, E.",'[1]Raw Data - S-19'!$A$9:$L$135,2,FALSE)</f>
        <v>26</v>
      </c>
      <c r="C46" s="3"/>
      <c r="D46" s="3">
        <f>VLOOKUP("Louisiana, E.",'[1]Raw Data - S-19'!$A$9:$L$135,3,FALSE)</f>
        <v>54</v>
      </c>
      <c r="E46" s="3"/>
      <c r="F46" s="3">
        <f>VLOOKUP("Louisiana, E.",'[1]Raw Data - S-19'!$A$9:$L$135,7,FALSE)</f>
        <v>11519</v>
      </c>
      <c r="G46" s="3"/>
      <c r="H46" s="3">
        <f>VLOOKUP("Louisiana, E.",'[1]Raw Data - S-19'!$A$9:$L$135,8,FALSE)</f>
        <v>3298</v>
      </c>
      <c r="I46" s="3"/>
      <c r="J46" s="3">
        <f>VLOOKUP("Louisiana, E.",'[1]Raw Data - S-19'!$A$9:$L$135,12,FALSE)</f>
        <v>13919</v>
      </c>
      <c r="K46" s="3"/>
    </row>
    <row r="47" spans="1:11" x14ac:dyDescent="0.2">
      <c r="A47" s="1" t="s">
        <v>77</v>
      </c>
      <c r="B47" s="3">
        <f>VLOOKUP("Louisiana, M.",'[1]Raw Data - S-19'!$A$9:$L$135,2,FALSE)</f>
        <v>0</v>
      </c>
      <c r="C47" s="3"/>
      <c r="D47" s="3">
        <f>VLOOKUP("Louisiana, M.",'[1]Raw Data - S-19'!$A$9:$L$135,3,FALSE)</f>
        <v>9</v>
      </c>
      <c r="E47" s="3"/>
      <c r="F47" s="3">
        <f>VLOOKUP("Louisiana, M.",'[1]Raw Data - S-19'!$A$9:$L$135,7,FALSE)</f>
        <v>8</v>
      </c>
      <c r="G47" s="3"/>
      <c r="H47" s="3">
        <f>VLOOKUP("Louisiana, M.",'[1]Raw Data - S-19'!$A$9:$L$135,8,FALSE)</f>
        <v>1389</v>
      </c>
      <c r="I47" s="3"/>
      <c r="J47" s="3">
        <f>VLOOKUP("Louisiana, M.",'[1]Raw Data - S-19'!$A$9:$L$135,12,FALSE)</f>
        <v>0</v>
      </c>
      <c r="K47" s="3"/>
    </row>
    <row r="48" spans="1:11" x14ac:dyDescent="0.2">
      <c r="A48" s="1" t="s">
        <v>76</v>
      </c>
      <c r="B48" s="3">
        <f>VLOOKUP("Louisiana, W.",'[1]Raw Data - S-19'!$A$9:$L$135,2,FALSE)</f>
        <v>0</v>
      </c>
      <c r="C48" s="3"/>
      <c r="D48" s="3">
        <f>VLOOKUP("Louisiana, W.",'[1]Raw Data - S-19'!$A$9:$L$135,3,FALSE)</f>
        <v>29</v>
      </c>
      <c r="E48" s="3"/>
      <c r="F48" s="3">
        <f>VLOOKUP("Louisiana, W.",'[1]Raw Data - S-19'!$A$9:$L$135,7,FALSE)</f>
        <v>419</v>
      </c>
      <c r="G48" s="3"/>
      <c r="H48" s="3">
        <f>VLOOKUP("Louisiana, W.",'[1]Raw Data - S-19'!$A$9:$L$135,8,FALSE)</f>
        <v>2566</v>
      </c>
      <c r="I48" s="3"/>
      <c r="J48" s="3">
        <f>VLOOKUP("Louisiana, W.",'[1]Raw Data - S-19'!$A$9:$L$135,12,FALSE)</f>
        <v>0</v>
      </c>
      <c r="K48" s="3"/>
    </row>
    <row r="49" spans="1:11" x14ac:dyDescent="0.2">
      <c r="A49" s="1" t="s">
        <v>75</v>
      </c>
      <c r="B49" s="3">
        <f>VLOOKUP("Mississippi, N.",'[1]Raw Data - S-19'!$A$9:$L$135,2,FALSE)</f>
        <v>0</v>
      </c>
      <c r="C49" s="3"/>
      <c r="D49" s="3">
        <f>VLOOKUP("Mississippi, N.",'[1]Raw Data - S-19'!$A$9:$L$135,3,FALSE)</f>
        <v>9</v>
      </c>
      <c r="E49" s="3"/>
      <c r="F49" s="3">
        <f>VLOOKUP("Mississippi, N.",'[1]Raw Data - S-19'!$A$9:$L$135,7,FALSE)</f>
        <v>6</v>
      </c>
      <c r="G49" s="3"/>
      <c r="H49" s="3">
        <f>VLOOKUP("Mississippi, N.",'[1]Raw Data - S-19'!$A$9:$L$135,8,FALSE)</f>
        <v>1369</v>
      </c>
      <c r="I49" s="3"/>
      <c r="J49" s="3">
        <f>VLOOKUP("Mississippi, N.",'[1]Raw Data - S-19'!$A$9:$L$135,12,FALSE)</f>
        <v>0</v>
      </c>
      <c r="K49" s="3"/>
    </row>
    <row r="50" spans="1:11" x14ac:dyDescent="0.2">
      <c r="A50" s="1" t="s">
        <v>74</v>
      </c>
      <c r="B50" s="3">
        <f>VLOOKUP("Mississippi, S.",'[1]Raw Data - S-19'!$A$9:$L$135,2,FALSE)</f>
        <v>0</v>
      </c>
      <c r="C50" s="3"/>
      <c r="D50" s="3">
        <f>VLOOKUP("Mississippi, S.",'[1]Raw Data - S-19'!$A$9:$L$135,3,FALSE)</f>
        <v>21</v>
      </c>
      <c r="E50" s="3"/>
      <c r="F50" s="3">
        <f>VLOOKUP("Mississippi, S.",'[1]Raw Data - S-19'!$A$9:$L$135,7,FALSE)</f>
        <v>27</v>
      </c>
      <c r="G50" s="3"/>
      <c r="H50" s="3">
        <f>VLOOKUP("Mississippi, S.",'[1]Raw Data - S-19'!$A$9:$L$135,8,FALSE)</f>
        <v>6233</v>
      </c>
      <c r="I50" s="3"/>
      <c r="J50" s="3">
        <f>VLOOKUP("Mississippi, S.",'[1]Raw Data - S-19'!$A$9:$L$135,12,FALSE)</f>
        <v>0</v>
      </c>
      <c r="K50" s="3"/>
    </row>
    <row r="51" spans="1:11" x14ac:dyDescent="0.2">
      <c r="A51" s="1" t="s">
        <v>73</v>
      </c>
      <c r="B51" s="3">
        <f>VLOOKUP("Texas, N.",'[1]Raw Data - S-19'!$A$9:$L$135,2,FALSE)</f>
        <v>18</v>
      </c>
      <c r="C51" s="3"/>
      <c r="D51" s="3">
        <f>VLOOKUP("Texas, N.",'[1]Raw Data - S-19'!$A$9:$L$135,3,FALSE)</f>
        <v>14</v>
      </c>
      <c r="E51" s="3"/>
      <c r="F51" s="3">
        <f>VLOOKUP("Texas, N.",'[1]Raw Data - S-19'!$A$9:$L$135,7,FALSE)</f>
        <v>2263</v>
      </c>
      <c r="G51" s="3"/>
      <c r="H51" s="3">
        <f>VLOOKUP("Texas, N.",'[1]Raw Data - S-19'!$A$9:$L$135,8,FALSE)</f>
        <v>3913</v>
      </c>
      <c r="I51" s="3"/>
      <c r="J51" s="3">
        <f>VLOOKUP("Texas, N.",'[1]Raw Data - S-19'!$A$9:$L$135,12,FALSE)</f>
        <v>387</v>
      </c>
      <c r="K51" s="3"/>
    </row>
    <row r="52" spans="1:11" x14ac:dyDescent="0.2">
      <c r="A52" s="1" t="s">
        <v>72</v>
      </c>
      <c r="B52" s="3">
        <f>VLOOKUP("Texas, E.",'[1]Raw Data - S-19'!$A$9:$L$135,2,FALSE)</f>
        <v>2</v>
      </c>
      <c r="C52" s="3"/>
      <c r="D52" s="3">
        <f>VLOOKUP("Texas, E.",'[1]Raw Data - S-19'!$A$9:$L$135,3,FALSE)</f>
        <v>14</v>
      </c>
      <c r="E52" s="3"/>
      <c r="F52" s="3">
        <f>VLOOKUP("Texas, E.",'[1]Raw Data - S-19'!$A$9:$L$135,7,FALSE)</f>
        <v>3451</v>
      </c>
      <c r="G52" s="3"/>
      <c r="H52" s="3">
        <f>VLOOKUP("Texas, E.",'[1]Raw Data - S-19'!$A$9:$L$135,8,FALSE)</f>
        <v>8100</v>
      </c>
      <c r="I52" s="3"/>
      <c r="J52" s="3">
        <f>VLOOKUP("Texas, E.",'[1]Raw Data - S-19'!$A$9:$L$135,12,FALSE)</f>
        <v>4</v>
      </c>
      <c r="K52" s="3"/>
    </row>
    <row r="53" spans="1:11" x14ac:dyDescent="0.2">
      <c r="A53" s="1" t="s">
        <v>71</v>
      </c>
      <c r="B53" s="3">
        <f>VLOOKUP("Texas, S.",'[1]Raw Data - S-19'!$A$9:$L$135,2,FALSE)</f>
        <v>0</v>
      </c>
      <c r="C53" s="3"/>
      <c r="D53" s="3">
        <f>VLOOKUP("Texas, S.",'[1]Raw Data - S-19'!$A$9:$L$135,3,FALSE)</f>
        <v>28</v>
      </c>
      <c r="E53" s="3"/>
      <c r="F53" s="3">
        <f>VLOOKUP("Texas, S.",'[1]Raw Data - S-19'!$A$9:$L$135,7,FALSE)</f>
        <v>470</v>
      </c>
      <c r="G53" s="3"/>
      <c r="H53" s="3">
        <f>VLOOKUP("Texas, S.",'[1]Raw Data - S-19'!$A$9:$L$135,8,FALSE)</f>
        <v>11944</v>
      </c>
      <c r="I53" s="3"/>
      <c r="J53" s="3">
        <f>VLOOKUP("Texas, S.",'[1]Raw Data - S-19'!$A$9:$L$135,12,FALSE)</f>
        <v>0</v>
      </c>
      <c r="K53" s="3"/>
    </row>
    <row r="54" spans="1:11" x14ac:dyDescent="0.2">
      <c r="A54" s="1" t="s">
        <v>70</v>
      </c>
      <c r="B54" s="3">
        <f>VLOOKUP("Texas, W.",'[1]Raw Data - S-19'!$A$9:$L$135,2,FALSE)</f>
        <v>0</v>
      </c>
      <c r="C54" s="3"/>
      <c r="D54" s="3">
        <f>VLOOKUP("Texas, W.",'[1]Raw Data - S-19'!$A$9:$L$135,3,FALSE)</f>
        <v>17</v>
      </c>
      <c r="E54" s="3"/>
      <c r="F54" s="3">
        <f>VLOOKUP("Texas, W.",'[1]Raw Data - S-19'!$A$9:$L$135,7,FALSE)</f>
        <v>27</v>
      </c>
      <c r="G54" s="3"/>
      <c r="H54" s="3">
        <f>VLOOKUP("Texas, W.",'[1]Raw Data - S-19'!$A$9:$L$135,8,FALSE)</f>
        <v>1664</v>
      </c>
      <c r="I54" s="3"/>
      <c r="J54" s="3">
        <f>VLOOKUP("Texas, W.",'[1]Raw Data - S-19'!$A$9:$L$135,12,FALSE)</f>
        <v>9</v>
      </c>
      <c r="K54" s="3"/>
    </row>
    <row r="55" spans="1:11" ht="16.5" customHeight="1" x14ac:dyDescent="0.2">
      <c r="A55" s="5" t="s">
        <v>69</v>
      </c>
      <c r="B55" s="4">
        <f>IF(VLOOKUP("6TH",'[1]Raw Data - S-19'!$A$9:$L$135,2,FALSE)-SUM(B56:B64)=0,VLOOKUP("6TH",'[1]Raw Data - S-19'!$A$9:$L$135,2,FALSE),"ERROR")</f>
        <v>128</v>
      </c>
      <c r="C55" s="4"/>
      <c r="D55" s="4">
        <f>IF(VLOOKUP("6TH",'[1]Raw Data - S-19'!$A$9:$L$135,3,FALSE)-SUM(D56:D64)=0,VLOOKUP("6TH",'[1]Raw Data - S-19'!$A$9:$L$135,3,FALSE),"ERROR")</f>
        <v>141</v>
      </c>
      <c r="E55" s="4"/>
      <c r="F55" s="4">
        <f>IF(VLOOKUP("6TH",'[1]Raw Data - S-19'!$A$9:$L$135,7,FALSE)-SUM(F56:F64)=0,VLOOKUP("6TH",'[1]Raw Data - S-19'!$A$9:$L$135,7,FALSE),"ERROR")</f>
        <v>14159</v>
      </c>
      <c r="G55" s="4"/>
      <c r="H55" s="4">
        <f>IF(VLOOKUP("6TH",'[1]Raw Data - S-19'!$A$9:$L$135,8,FALSE)-SUM(H56:H64)=0,VLOOKUP("6TH",'[1]Raw Data - S-19'!$A$9:$L$135,8,FALSE),"ERROR")</f>
        <v>60347</v>
      </c>
      <c r="I55" s="4"/>
      <c r="J55" s="4">
        <f>IF(VLOOKUP("6TH",'[1]Raw Data - S-19'!$A$9:$L$135,12,FALSE)-SUM(J56:J64)=0,VLOOKUP("6TH",'[1]Raw Data - S-19'!$A$9:$L$135,12,FALSE),"ERROR")</f>
        <v>21380</v>
      </c>
      <c r="K55" s="4"/>
    </row>
    <row r="56" spans="1:11" x14ac:dyDescent="0.2">
      <c r="A56" s="1" t="s">
        <v>68</v>
      </c>
      <c r="B56" s="3">
        <f>VLOOKUP("Kentucky, E.",'[1]Raw Data - S-19'!$A$9:$L$135,2,FALSE)</f>
        <v>0</v>
      </c>
      <c r="C56" s="3"/>
      <c r="D56" s="3">
        <f>VLOOKUP("Kentucky, E.",'[1]Raw Data - S-19'!$A$9:$L$135,3,FALSE)</f>
        <v>9</v>
      </c>
      <c r="E56" s="3"/>
      <c r="F56" s="3">
        <f>VLOOKUP("Kentucky, E.",'[1]Raw Data - S-19'!$A$9:$L$135,7,FALSE)</f>
        <v>519</v>
      </c>
      <c r="G56" s="3"/>
      <c r="H56" s="3">
        <f>VLOOKUP("Kentucky, E.",'[1]Raw Data - S-19'!$A$9:$L$135,8,FALSE)</f>
        <v>1090</v>
      </c>
      <c r="I56" s="3"/>
      <c r="J56" s="3">
        <f>VLOOKUP("Kentucky, E.",'[1]Raw Data - S-19'!$A$9:$L$135,12,FALSE)</f>
        <v>240</v>
      </c>
      <c r="K56" s="3"/>
    </row>
    <row r="57" spans="1:11" x14ac:dyDescent="0.2">
      <c r="A57" s="1" t="s">
        <v>67</v>
      </c>
      <c r="B57" s="3">
        <f>VLOOKUP("Kentucky, W.",'[1]Raw Data - S-19'!$A$9:$L$135,2,FALSE)</f>
        <v>0</v>
      </c>
      <c r="C57" s="3"/>
      <c r="D57" s="3">
        <f>VLOOKUP("Kentucky, W.",'[1]Raw Data - S-19'!$A$9:$L$135,3,FALSE)</f>
        <v>14</v>
      </c>
      <c r="E57" s="3"/>
      <c r="F57" s="3">
        <f>VLOOKUP("Kentucky, W.",'[1]Raw Data - S-19'!$A$9:$L$135,7,FALSE)</f>
        <v>616</v>
      </c>
      <c r="G57" s="3"/>
      <c r="H57" s="3">
        <f>VLOOKUP("Kentucky, W.",'[1]Raw Data - S-19'!$A$9:$L$135,8,FALSE)</f>
        <v>1372</v>
      </c>
      <c r="I57" s="3"/>
      <c r="J57" s="3">
        <f>VLOOKUP("Kentucky, W.",'[1]Raw Data - S-19'!$A$9:$L$135,12,FALSE)</f>
        <v>3</v>
      </c>
      <c r="K57" s="3"/>
    </row>
    <row r="58" spans="1:11" x14ac:dyDescent="0.2">
      <c r="A58" s="1" t="s">
        <v>66</v>
      </c>
      <c r="B58" s="3">
        <f>VLOOKUP("Michigan, E.",'[1]Raw Data - S-19'!$A$9:$L$135,2,FALSE)</f>
        <v>17</v>
      </c>
      <c r="C58" s="3"/>
      <c r="D58" s="3">
        <f>VLOOKUP("Michigan, E.",'[1]Raw Data - S-19'!$A$9:$L$135,3,FALSE)</f>
        <v>34</v>
      </c>
      <c r="E58" s="3"/>
      <c r="F58" s="3">
        <f>VLOOKUP("Michigan, E.",'[1]Raw Data - S-19'!$A$9:$L$135,7,FALSE)</f>
        <v>718</v>
      </c>
      <c r="G58" s="3"/>
      <c r="H58" s="3">
        <f>VLOOKUP("Michigan, E.",'[1]Raw Data - S-19'!$A$9:$L$135,8,FALSE)</f>
        <v>2491</v>
      </c>
      <c r="I58" s="3"/>
      <c r="J58" s="3">
        <f>VLOOKUP("Michigan, E.",'[1]Raw Data - S-19'!$A$9:$L$135,12,FALSE)</f>
        <v>79</v>
      </c>
      <c r="K58" s="3"/>
    </row>
    <row r="59" spans="1:11" x14ac:dyDescent="0.2">
      <c r="A59" s="1" t="s">
        <v>65</v>
      </c>
      <c r="B59" s="3">
        <f>VLOOKUP("Michigan, W.",'[1]Raw Data - S-19'!$A$9:$L$135,2,FALSE)</f>
        <v>0</v>
      </c>
      <c r="C59" s="3"/>
      <c r="D59" s="3">
        <f>VLOOKUP("Michigan, W.",'[1]Raw Data - S-19'!$A$9:$L$135,3,FALSE)</f>
        <v>7</v>
      </c>
      <c r="E59" s="3"/>
      <c r="F59" s="3">
        <f>VLOOKUP("Michigan, W.",'[1]Raw Data - S-19'!$A$9:$L$135,7,FALSE)</f>
        <v>22</v>
      </c>
      <c r="G59" s="3"/>
      <c r="H59" s="3">
        <f>VLOOKUP("Michigan, W.",'[1]Raw Data - S-19'!$A$9:$L$135,8,FALSE)</f>
        <v>374</v>
      </c>
      <c r="I59" s="3"/>
      <c r="J59" s="3">
        <f>VLOOKUP("Michigan, W.",'[1]Raw Data - S-19'!$A$9:$L$135,12,FALSE)</f>
        <v>0</v>
      </c>
      <c r="K59" s="3"/>
    </row>
    <row r="60" spans="1:11" x14ac:dyDescent="0.2">
      <c r="A60" s="1" t="s">
        <v>64</v>
      </c>
      <c r="B60" s="3">
        <f>VLOOKUP("Ohio, N.",'[1]Raw Data - S-19'!$A$9:$L$135,2,FALSE)</f>
        <v>27</v>
      </c>
      <c r="C60" s="3"/>
      <c r="D60" s="3">
        <f>VLOOKUP("Ohio, N.",'[1]Raw Data - S-19'!$A$9:$L$135,3,FALSE)</f>
        <v>28</v>
      </c>
      <c r="E60" s="3"/>
      <c r="F60" s="3">
        <f>VLOOKUP("Ohio, N.",'[1]Raw Data - S-19'!$A$9:$L$135,7,FALSE)</f>
        <v>6364</v>
      </c>
      <c r="G60" s="3"/>
      <c r="H60" s="3">
        <f>VLOOKUP("Ohio, N.",'[1]Raw Data - S-19'!$A$9:$L$135,8,FALSE)</f>
        <v>49674</v>
      </c>
      <c r="I60" s="3"/>
      <c r="J60" s="3">
        <f>VLOOKUP("Ohio, N.",'[1]Raw Data - S-19'!$A$9:$L$135,12,FALSE)</f>
        <v>3324</v>
      </c>
      <c r="K60" s="3"/>
    </row>
    <row r="61" spans="1:11" x14ac:dyDescent="0.2">
      <c r="A61" s="1" t="s">
        <v>63</v>
      </c>
      <c r="B61" s="3">
        <f>VLOOKUP("Ohio, S.",'[1]Raw Data - S-19'!$A$9:$L$135,2,FALSE)</f>
        <v>71</v>
      </c>
      <c r="C61" s="3"/>
      <c r="D61" s="3">
        <f>VLOOKUP("Ohio, S.",'[1]Raw Data - S-19'!$A$9:$L$135,3,FALSE)</f>
        <v>24</v>
      </c>
      <c r="E61" s="3"/>
      <c r="F61" s="3">
        <f>VLOOKUP("Ohio, S.",'[1]Raw Data - S-19'!$A$9:$L$135,7,FALSE)</f>
        <v>5178</v>
      </c>
      <c r="G61" s="3"/>
      <c r="H61" s="3">
        <f>VLOOKUP("Ohio, S.",'[1]Raw Data - S-19'!$A$9:$L$135,8,FALSE)</f>
        <v>1960</v>
      </c>
      <c r="I61" s="3"/>
      <c r="J61" s="3">
        <f>VLOOKUP("Ohio, S.",'[1]Raw Data - S-19'!$A$9:$L$135,12,FALSE)</f>
        <v>17714</v>
      </c>
      <c r="K61" s="3"/>
    </row>
    <row r="62" spans="1:11" x14ac:dyDescent="0.2">
      <c r="A62" s="1" t="s">
        <v>62</v>
      </c>
      <c r="B62" s="3">
        <f>VLOOKUP("Tennesee, E.",'[1]Raw Data - S-19'!$A$9:$L$135,2,FALSE)</f>
        <v>0</v>
      </c>
      <c r="C62" s="3"/>
      <c r="D62" s="3">
        <f>VLOOKUP("Tennesee, E.",'[1]Raw Data - S-19'!$A$9:$L$135,3,FALSE)</f>
        <v>11</v>
      </c>
      <c r="E62" s="3"/>
      <c r="F62" s="3">
        <f>VLOOKUP("Tennesee, E.",'[1]Raw Data - S-19'!$A$9:$L$135,7,FALSE)</f>
        <v>35</v>
      </c>
      <c r="G62" s="3"/>
      <c r="H62" s="3">
        <f>VLOOKUP("Tennesee, E.",'[1]Raw Data - S-19'!$A$9:$L$135,8,FALSE)</f>
        <v>1198</v>
      </c>
      <c r="I62" s="3"/>
      <c r="J62" s="3">
        <f>VLOOKUP("Tennesee, E.",'[1]Raw Data - S-19'!$A$9:$L$135,12,FALSE)</f>
        <v>0</v>
      </c>
      <c r="K62" s="3"/>
    </row>
    <row r="63" spans="1:11" x14ac:dyDescent="0.2">
      <c r="A63" s="1" t="s">
        <v>61</v>
      </c>
      <c r="B63" s="3">
        <f>VLOOKUP("Tennesee, M.",'[1]Raw Data - S-19'!$A$9:$L$135,2,FALSE)</f>
        <v>0</v>
      </c>
      <c r="C63" s="3"/>
      <c r="D63" s="3">
        <f>VLOOKUP("Tennesee, M.",'[1]Raw Data - S-19'!$A$9:$L$135,3,FALSE)</f>
        <v>9</v>
      </c>
      <c r="E63" s="3"/>
      <c r="F63" s="3">
        <f>VLOOKUP("Tennesee, M.",'[1]Raw Data - S-19'!$A$9:$L$135,7,FALSE)</f>
        <v>635</v>
      </c>
      <c r="G63" s="3"/>
      <c r="H63" s="3">
        <f>VLOOKUP("Tennesee, M.",'[1]Raw Data - S-19'!$A$9:$L$135,8,FALSE)</f>
        <v>1031</v>
      </c>
      <c r="I63" s="3"/>
      <c r="J63" s="3">
        <f>VLOOKUP("Tennesee, M.",'[1]Raw Data - S-19'!$A$9:$L$135,12,FALSE)</f>
        <v>0</v>
      </c>
      <c r="K63" s="3"/>
    </row>
    <row r="64" spans="1:11" x14ac:dyDescent="0.2">
      <c r="A64" s="1" t="s">
        <v>60</v>
      </c>
      <c r="B64" s="3">
        <f>VLOOKUP("Tennessee, W.",'[1]Raw Data - S-19'!$A$9:$L$135,2,FALSE)</f>
        <v>13</v>
      </c>
      <c r="C64" s="3"/>
      <c r="D64" s="3">
        <f>VLOOKUP("Tennessee, W.",'[1]Raw Data - S-19'!$A$9:$L$135,3,FALSE)</f>
        <v>5</v>
      </c>
      <c r="E64" s="3"/>
      <c r="F64" s="3">
        <f>VLOOKUP("Tennessee, W.",'[1]Raw Data - S-19'!$A$9:$L$135,7,FALSE)</f>
        <v>72</v>
      </c>
      <c r="G64" s="3"/>
      <c r="H64" s="3">
        <f>VLOOKUP("Tennessee, W.",'[1]Raw Data - S-19'!$A$9:$L$135,8,FALSE)</f>
        <v>1157</v>
      </c>
      <c r="I64" s="3"/>
      <c r="J64" s="3">
        <f>VLOOKUP("Tennessee, W.",'[1]Raw Data - S-19'!$A$9:$L$135,12,FALSE)</f>
        <v>20</v>
      </c>
      <c r="K64" s="3"/>
    </row>
    <row r="65" spans="1:11" ht="16.5" customHeight="1" x14ac:dyDescent="0.2">
      <c r="A65" s="5" t="s">
        <v>59</v>
      </c>
      <c r="B65" s="4">
        <f>IF(VLOOKUP("7TH",'[1]Raw Data - S-19'!$A$9:$L$135,2,FALSE)-SUM(B66:B73)=0,VLOOKUP("7TH",'[1]Raw Data - S-19'!$A$9:$L$135,2,FALSE),"ERROR")</f>
        <v>455</v>
      </c>
      <c r="C65" s="4"/>
      <c r="D65" s="4">
        <f>IF(VLOOKUP("7TH",'[1]Raw Data - S-19'!$A$9:$L$135,3,FALSE)-SUM(D66:D73)=0,VLOOKUP("7TH",'[1]Raw Data - S-19'!$A$9:$L$135,3,FALSE),"ERROR")</f>
        <v>84</v>
      </c>
      <c r="E65" s="4"/>
      <c r="F65" s="4">
        <f>IF(VLOOKUP("7TH",'[1]Raw Data - S-19'!$A$9:$L$135,7,FALSE)-SUM(F66:F73)=0,VLOOKUP("7TH",'[1]Raw Data - S-19'!$A$9:$L$135,7,FALSE),"ERROR")</f>
        <v>9358</v>
      </c>
      <c r="G65" s="4"/>
      <c r="H65" s="4">
        <f>IF(VLOOKUP("7TH",'[1]Raw Data - S-19'!$A$9:$L$135,8,FALSE)-SUM(H66:H73)=0,VLOOKUP("7TH",'[1]Raw Data - S-19'!$A$9:$L$135,8,FALSE),"ERROR")</f>
        <v>14073</v>
      </c>
      <c r="I65" s="4"/>
      <c r="J65" s="4">
        <f>IF(VLOOKUP("7TH",'[1]Raw Data - S-19'!$A$9:$L$135,12,FALSE)-SUM(J66:J73)=0,VLOOKUP("7TH",'[1]Raw Data - S-19'!$A$9:$L$135,12,FALSE),"ERROR")</f>
        <v>10888</v>
      </c>
      <c r="K65" s="3"/>
    </row>
    <row r="66" spans="1:11" x14ac:dyDescent="0.2">
      <c r="A66" s="1" t="s">
        <v>58</v>
      </c>
      <c r="B66" s="3">
        <f>VLOOKUP("Illinois, N.",'[1]Raw Data - S-19'!$A$9:$L$135,2,FALSE)</f>
        <v>124</v>
      </c>
      <c r="C66" s="3"/>
      <c r="D66" s="3">
        <f>VLOOKUP("Illinois, N.",'[1]Raw Data - S-19'!$A$9:$L$135,3,FALSE)</f>
        <v>37</v>
      </c>
      <c r="E66" s="3"/>
      <c r="F66" s="3">
        <f>VLOOKUP("Illinois, N.",'[1]Raw Data - S-19'!$A$9:$L$135,7,FALSE)</f>
        <v>5181</v>
      </c>
      <c r="G66" s="3"/>
      <c r="H66" s="3">
        <f>VLOOKUP("Illinois, N.",'[1]Raw Data - S-19'!$A$9:$L$135,8,FALSE)</f>
        <v>4040</v>
      </c>
      <c r="I66" s="3"/>
      <c r="J66" s="3">
        <f>VLOOKUP("Illinois, N.",'[1]Raw Data - S-19'!$A$9:$L$135,12,FALSE)</f>
        <v>930</v>
      </c>
      <c r="K66" s="3"/>
    </row>
    <row r="67" spans="1:11" ht="11.4" x14ac:dyDescent="0.2">
      <c r="A67" s="1" t="s">
        <v>57</v>
      </c>
      <c r="B67" s="3">
        <f>VLOOKUP("Illinois, E.*",'[1]Raw Data - S-19'!$A$9:$L$135,2,FALSE)</f>
        <v>0</v>
      </c>
      <c r="C67" s="3"/>
      <c r="D67" s="3">
        <f>VLOOKUP("Illinois, E.*",'[1]Raw Data - S-19'!$A$9:$L$135,3,FALSE)</f>
        <v>0</v>
      </c>
      <c r="E67" s="3"/>
      <c r="F67" s="3">
        <f>VLOOKUP("Illinois, E.*",'[1]Raw Data - S-19'!$A$9:$L$135,7,FALSE)</f>
        <v>0</v>
      </c>
      <c r="G67" s="3"/>
      <c r="H67" s="3">
        <f>VLOOKUP("Illinois, E.*",'[1]Raw Data - S-19'!$A$9:$L$135,8,FALSE)</f>
        <v>9</v>
      </c>
      <c r="I67" s="3"/>
      <c r="J67" s="3">
        <f>VLOOKUP("Illinois, E.*",'[1]Raw Data - S-19'!$A$9:$L$135,12,FALSE)</f>
        <v>0</v>
      </c>
      <c r="K67" s="3"/>
    </row>
    <row r="68" spans="1:11" x14ac:dyDescent="0.2">
      <c r="A68" s="1" t="s">
        <v>56</v>
      </c>
      <c r="B68" s="3">
        <f>VLOOKUP("Illinois, C.",'[1]Raw Data - S-19'!$A$9:$L$135,2,FALSE)</f>
        <v>0</v>
      </c>
      <c r="C68" s="3"/>
      <c r="D68" s="3">
        <f>VLOOKUP("Illinois, C.",'[1]Raw Data - S-19'!$A$9:$L$135,3,FALSE)</f>
        <v>5</v>
      </c>
      <c r="E68" s="3"/>
      <c r="F68" s="3">
        <f>VLOOKUP("Illinois, C.",'[1]Raw Data - S-19'!$A$9:$L$135,7,FALSE)</f>
        <v>46</v>
      </c>
      <c r="G68" s="3"/>
      <c r="H68" s="3">
        <f>VLOOKUP("Illinois, C.",'[1]Raw Data - S-19'!$A$9:$L$135,8,FALSE)</f>
        <v>1430</v>
      </c>
      <c r="I68" s="3"/>
      <c r="J68" s="3">
        <f>VLOOKUP("Illinois, C.",'[1]Raw Data - S-19'!$A$9:$L$135,12,FALSE)</f>
        <v>0</v>
      </c>
      <c r="K68" s="3"/>
    </row>
    <row r="69" spans="1:11" x14ac:dyDescent="0.2">
      <c r="A69" s="1" t="s">
        <v>55</v>
      </c>
      <c r="B69" s="3">
        <f>VLOOKUP("Illinois, S.",'[1]Raw Data - S-19'!$A$9:$L$135,2,FALSE)</f>
        <v>44</v>
      </c>
      <c r="C69" s="3"/>
      <c r="D69" s="3">
        <f>VLOOKUP("Illinois, S.",'[1]Raw Data - S-19'!$A$9:$L$135,3,FALSE)</f>
        <v>5</v>
      </c>
      <c r="E69" s="3"/>
      <c r="F69" s="3">
        <f>VLOOKUP("Illinois, S.",'[1]Raw Data - S-19'!$A$9:$L$135,7,FALSE)</f>
        <v>1380</v>
      </c>
      <c r="G69" s="3"/>
      <c r="H69" s="3">
        <f>VLOOKUP("Illinois, S.",'[1]Raw Data - S-19'!$A$9:$L$135,8,FALSE)</f>
        <v>1694</v>
      </c>
      <c r="I69" s="3"/>
      <c r="J69" s="3">
        <f>VLOOKUP("Illinois, S.",'[1]Raw Data - S-19'!$A$9:$L$135,12,FALSE)</f>
        <v>1959</v>
      </c>
      <c r="K69" s="3"/>
    </row>
    <row r="70" spans="1:11" x14ac:dyDescent="0.2">
      <c r="A70" s="1" t="s">
        <v>54</v>
      </c>
      <c r="B70" s="3">
        <f>VLOOKUP("Indiana, N.",'[1]Raw Data - S-19'!$A$9:$L$135,2,FALSE)</f>
        <v>0</v>
      </c>
      <c r="C70" s="3"/>
      <c r="D70" s="3">
        <f>VLOOKUP("Indiana, N.",'[1]Raw Data - S-19'!$A$9:$L$135,3,FALSE)</f>
        <v>5</v>
      </c>
      <c r="E70" s="3"/>
      <c r="F70" s="3">
        <f>VLOOKUP("Indiana, N.",'[1]Raw Data - S-19'!$A$9:$L$135,7,FALSE)</f>
        <v>628</v>
      </c>
      <c r="G70" s="3"/>
      <c r="H70" s="3">
        <f>VLOOKUP("Indiana, N.",'[1]Raw Data - S-19'!$A$9:$L$135,8,FALSE)</f>
        <v>1910</v>
      </c>
      <c r="I70" s="3"/>
      <c r="J70" s="3">
        <f>VLOOKUP("Indiana, N.",'[1]Raw Data - S-19'!$A$9:$L$135,12,FALSE)</f>
        <v>0</v>
      </c>
      <c r="K70" s="3"/>
    </row>
    <row r="71" spans="1:11" x14ac:dyDescent="0.2">
      <c r="A71" s="1" t="s">
        <v>53</v>
      </c>
      <c r="B71" s="3">
        <f>VLOOKUP("Indiana, S.",'[1]Raw Data - S-19'!$A$9:$L$135,2,FALSE)</f>
        <v>287</v>
      </c>
      <c r="C71" s="3"/>
      <c r="D71" s="3">
        <f>VLOOKUP("Indiana, S.",'[1]Raw Data - S-19'!$A$9:$L$135,3,FALSE)</f>
        <v>7</v>
      </c>
      <c r="E71" s="3"/>
      <c r="F71" s="3">
        <f>VLOOKUP("Indiana, S.",'[1]Raw Data - S-19'!$A$9:$L$135,7,FALSE)</f>
        <v>1990</v>
      </c>
      <c r="G71" s="3"/>
      <c r="H71" s="3">
        <f>VLOOKUP("Indiana, S.",'[1]Raw Data - S-19'!$A$9:$L$135,8,FALSE)</f>
        <v>3152</v>
      </c>
      <c r="I71" s="3"/>
      <c r="J71" s="3">
        <f>VLOOKUP("Indiana, S.",'[1]Raw Data - S-19'!$A$9:$L$135,12,FALSE)</f>
        <v>7999</v>
      </c>
      <c r="K71" s="3"/>
    </row>
    <row r="72" spans="1:11" x14ac:dyDescent="0.2">
      <c r="A72" s="1" t="s">
        <v>52</v>
      </c>
      <c r="B72" s="3">
        <f>VLOOKUP("Wisconsin, E.",'[1]Raw Data - S-19'!$A$9:$L$135,2,FALSE)</f>
        <v>0</v>
      </c>
      <c r="C72" s="3"/>
      <c r="D72" s="3">
        <f>VLOOKUP("Wisconsin, E.",'[1]Raw Data - S-19'!$A$9:$L$135,3,FALSE)</f>
        <v>16</v>
      </c>
      <c r="E72" s="3"/>
      <c r="F72" s="3">
        <f>VLOOKUP("Wisconsin, E.",'[1]Raw Data - S-19'!$A$9:$L$135,7,FALSE)</f>
        <v>95</v>
      </c>
      <c r="G72" s="3"/>
      <c r="H72" s="3">
        <f>VLOOKUP("Wisconsin, E.",'[1]Raw Data - S-19'!$A$9:$L$135,8,FALSE)</f>
        <v>1289</v>
      </c>
      <c r="I72" s="3"/>
      <c r="J72" s="3">
        <f>VLOOKUP("Wisconsin, E.",'[1]Raw Data - S-19'!$A$9:$L$135,12,FALSE)</f>
        <v>0</v>
      </c>
      <c r="K72" s="3"/>
    </row>
    <row r="73" spans="1:11" x14ac:dyDescent="0.2">
      <c r="A73" s="1" t="s">
        <v>51</v>
      </c>
      <c r="B73" s="3">
        <f>VLOOKUP("Wisconsin, W.",'[1]Raw Data - S-19'!$A$9:$L$135,2,FALSE)</f>
        <v>0</v>
      </c>
      <c r="C73" s="3"/>
      <c r="D73" s="3">
        <f>VLOOKUP("Wisconsin, W.",'[1]Raw Data - S-19'!$A$9:$L$135,3,FALSE)</f>
        <v>9</v>
      </c>
      <c r="E73" s="3"/>
      <c r="F73" s="3">
        <f>VLOOKUP("Wisconsin, W.",'[1]Raw Data - S-19'!$A$9:$L$135,7,FALSE)</f>
        <v>38</v>
      </c>
      <c r="G73" s="3"/>
      <c r="H73" s="3">
        <f>VLOOKUP("Wisconsin, W.",'[1]Raw Data - S-19'!$A$9:$L$135,8,FALSE)</f>
        <v>549</v>
      </c>
      <c r="I73" s="3"/>
      <c r="J73" s="3">
        <f>VLOOKUP("Wisconsin, W.",'[1]Raw Data - S-19'!$A$9:$L$135,12,FALSE)</f>
        <v>0</v>
      </c>
      <c r="K73" s="3"/>
    </row>
    <row r="74" spans="1:11" ht="16.5" customHeight="1" x14ac:dyDescent="0.2">
      <c r="A74" s="5" t="s">
        <v>50</v>
      </c>
      <c r="B74" s="4">
        <f>IF(VLOOKUP("8TH",'[1]Raw Data - S-19'!$A$9:$L$135,2,FALSE)-SUM(B75:B84)=0,VLOOKUP("8TH",'[1]Raw Data - S-19'!$A$9:$L$135,2,FALSE),"ERROR")</f>
        <v>80</v>
      </c>
      <c r="C74" s="4"/>
      <c r="D74" s="4">
        <f>IF(VLOOKUP("8TH",'[1]Raw Data - S-19'!$A$9:$L$135,3,FALSE)-SUM(D75:D84)=0,VLOOKUP("8TH",'[1]Raw Data - S-19'!$A$9:$L$135,3,FALSE),"ERROR")</f>
        <v>799</v>
      </c>
      <c r="E74" s="4"/>
      <c r="F74" s="4">
        <f>IF(VLOOKUP("8TH",'[1]Raw Data - S-19'!$A$9:$L$135,7,FALSE)-SUM(F75:F84)=0,VLOOKUP("8TH",'[1]Raw Data - S-19'!$A$9:$L$135,7,FALSE),"ERROR")</f>
        <v>23888</v>
      </c>
      <c r="G74" s="4"/>
      <c r="H74" s="4">
        <f>IF(VLOOKUP("8TH",'[1]Raw Data - S-19'!$A$9:$L$135,8,FALSE)-SUM(H75:H84)=0,VLOOKUP("8TH",'[1]Raw Data - S-19'!$A$9:$L$135,8,FALSE),"ERROR")</f>
        <v>26458</v>
      </c>
      <c r="I74" s="4"/>
      <c r="J74" s="4">
        <f>IF(VLOOKUP("8TH",'[1]Raw Data - S-19'!$A$9:$L$135,12,FALSE)-SUM(J75:J84)=0,VLOOKUP("8TH",'[1]Raw Data - S-19'!$A$9:$L$135,12,FALSE),"ERROR")</f>
        <v>5673</v>
      </c>
      <c r="K74" s="3"/>
    </row>
    <row r="75" spans="1:11" x14ac:dyDescent="0.2">
      <c r="A75" s="1" t="s">
        <v>49</v>
      </c>
      <c r="B75" s="3">
        <f>VLOOKUP("Arkansas, E.",'[1]Raw Data - S-19'!$A$9:$L$135,2,FALSE)</f>
        <v>2</v>
      </c>
      <c r="C75" s="3"/>
      <c r="D75" s="3">
        <f>VLOOKUP("Arkansas, E.",'[1]Raw Data - S-19'!$A$9:$L$135,3,FALSE)</f>
        <v>14</v>
      </c>
      <c r="E75" s="3"/>
      <c r="F75" s="3">
        <f>VLOOKUP("Arkansas, E.",'[1]Raw Data - S-19'!$A$9:$L$135,7,FALSE)</f>
        <v>9773</v>
      </c>
      <c r="G75" s="3"/>
      <c r="H75" s="3">
        <f>VLOOKUP("Arkansas, E.",'[1]Raw Data - S-19'!$A$9:$L$135,8,FALSE)</f>
        <v>988</v>
      </c>
      <c r="I75" s="3"/>
      <c r="J75" s="3">
        <f>VLOOKUP("Arkansas, E.",'[1]Raw Data - S-19'!$A$9:$L$135,12,FALSE)</f>
        <v>143</v>
      </c>
      <c r="K75" s="3"/>
    </row>
    <row r="76" spans="1:11" x14ac:dyDescent="0.2">
      <c r="A76" s="1" t="s">
        <v>48</v>
      </c>
      <c r="B76" s="3">
        <f>VLOOKUP("Arkansas, W.",'[1]Raw Data - S-19'!$A$9:$L$135,2,FALSE)</f>
        <v>0</v>
      </c>
      <c r="C76" s="3"/>
      <c r="D76" s="3">
        <f>VLOOKUP("Arkansas, W.",'[1]Raw Data - S-19'!$A$9:$L$135,3,FALSE)</f>
        <v>2</v>
      </c>
      <c r="E76" s="3"/>
      <c r="F76" s="3">
        <f>VLOOKUP("Arkansas, W.",'[1]Raw Data - S-19'!$A$9:$L$135,7,FALSE)</f>
        <v>15</v>
      </c>
      <c r="G76" s="3"/>
      <c r="H76" s="3">
        <f>VLOOKUP("Arkansas, W.",'[1]Raw Data - S-19'!$A$9:$L$135,8,FALSE)</f>
        <v>494</v>
      </c>
      <c r="I76" s="3"/>
      <c r="J76" s="3">
        <f>VLOOKUP("Arkansas, W.",'[1]Raw Data - S-19'!$A$9:$L$135,12,FALSE)</f>
        <v>0</v>
      </c>
      <c r="K76" s="3"/>
    </row>
    <row r="77" spans="1:11" x14ac:dyDescent="0.2">
      <c r="A77" s="1" t="s">
        <v>47</v>
      </c>
      <c r="B77" s="3">
        <f>VLOOKUP("Iowa, N.",'[1]Raw Data - S-19'!$A$9:$L$135,2,FALSE)</f>
        <v>0</v>
      </c>
      <c r="C77" s="3"/>
      <c r="D77" s="3">
        <f>VLOOKUP("Iowa, N.",'[1]Raw Data - S-19'!$A$9:$L$135,3,FALSE)</f>
        <v>2</v>
      </c>
      <c r="E77" s="3"/>
      <c r="F77" s="3">
        <f>VLOOKUP("Iowa, N.",'[1]Raw Data - S-19'!$A$9:$L$135,7,FALSE)</f>
        <v>4</v>
      </c>
      <c r="G77" s="3"/>
      <c r="H77" s="3">
        <f>VLOOKUP("Iowa, N.",'[1]Raw Data - S-19'!$A$9:$L$135,8,FALSE)</f>
        <v>561</v>
      </c>
      <c r="I77" s="3"/>
      <c r="J77" s="3">
        <f>VLOOKUP("Iowa, N.",'[1]Raw Data - S-19'!$A$9:$L$135,12,FALSE)</f>
        <v>0</v>
      </c>
      <c r="K77" s="3"/>
    </row>
    <row r="78" spans="1:11" x14ac:dyDescent="0.2">
      <c r="A78" s="1" t="s">
        <v>46</v>
      </c>
      <c r="B78" s="3">
        <f>VLOOKUP("Iowa, S.",'[1]Raw Data - S-19'!$A$9:$L$135,2,FALSE)</f>
        <v>0</v>
      </c>
      <c r="C78" s="3"/>
      <c r="D78" s="3">
        <f>VLOOKUP("Iowa, S.",'[1]Raw Data - S-19'!$A$9:$L$135,3,FALSE)</f>
        <v>4</v>
      </c>
      <c r="E78" s="3"/>
      <c r="F78" s="3">
        <f>VLOOKUP("Iowa, S.",'[1]Raw Data - S-19'!$A$9:$L$135,7,FALSE)</f>
        <v>26</v>
      </c>
      <c r="G78" s="3"/>
      <c r="H78" s="3">
        <f>VLOOKUP("Iowa, S.",'[1]Raw Data - S-19'!$A$9:$L$135,8,FALSE)</f>
        <v>1439</v>
      </c>
      <c r="I78" s="3"/>
      <c r="J78" s="3">
        <f>VLOOKUP("Iowa, S.",'[1]Raw Data - S-19'!$A$9:$L$135,12,FALSE)</f>
        <v>0</v>
      </c>
      <c r="K78" s="3"/>
    </row>
    <row r="79" spans="1:11" x14ac:dyDescent="0.2">
      <c r="A79" s="1" t="s">
        <v>45</v>
      </c>
      <c r="B79" s="3">
        <f>VLOOKUP("Minnesota",'[1]Raw Data - S-19'!$A$9:$L$135,2,FALSE)</f>
        <v>30</v>
      </c>
      <c r="C79" s="3"/>
      <c r="D79" s="3">
        <f>VLOOKUP("Minnesota",'[1]Raw Data - S-19'!$A$9:$L$135,3,FALSE)</f>
        <v>706</v>
      </c>
      <c r="E79" s="3"/>
      <c r="F79" s="3">
        <f>VLOOKUP("Minnesota",'[1]Raw Data - S-19'!$A$9:$L$135,7,FALSE)</f>
        <v>10938</v>
      </c>
      <c r="G79" s="3"/>
      <c r="H79" s="3">
        <f>VLOOKUP("Minnesota",'[1]Raw Data - S-19'!$A$9:$L$135,8,FALSE)</f>
        <v>15518</v>
      </c>
      <c r="I79" s="3"/>
      <c r="J79" s="3">
        <f>VLOOKUP("Minnesota",'[1]Raw Data - S-19'!$A$9:$L$135,12,FALSE)</f>
        <v>5382</v>
      </c>
      <c r="K79" s="3"/>
    </row>
    <row r="80" spans="1:11" x14ac:dyDescent="0.2">
      <c r="A80" s="1" t="s">
        <v>44</v>
      </c>
      <c r="B80" s="3">
        <f>VLOOKUP("Missouri, E.",'[1]Raw Data - S-19'!$A$9:$L$135,2,FALSE)</f>
        <v>0</v>
      </c>
      <c r="C80" s="3"/>
      <c r="D80" s="3">
        <f>VLOOKUP("Missouri, E.",'[1]Raw Data - S-19'!$A$9:$L$135,3,FALSE)</f>
        <v>25</v>
      </c>
      <c r="E80" s="3"/>
      <c r="F80" s="3">
        <f>VLOOKUP("Missouri, E.",'[1]Raw Data - S-19'!$A$9:$L$135,7,FALSE)</f>
        <v>2723</v>
      </c>
      <c r="G80" s="3"/>
      <c r="H80" s="3">
        <f>VLOOKUP("Missouri, E.",'[1]Raw Data - S-19'!$A$9:$L$135,8,FALSE)</f>
        <v>3732</v>
      </c>
      <c r="I80" s="3"/>
      <c r="J80" s="3">
        <f>VLOOKUP("Missouri, E.",'[1]Raw Data - S-19'!$A$9:$L$135,12,FALSE)</f>
        <v>66</v>
      </c>
      <c r="K80" s="3"/>
    </row>
    <row r="81" spans="1:11" x14ac:dyDescent="0.2">
      <c r="A81" s="1" t="s">
        <v>43</v>
      </c>
      <c r="B81" s="3">
        <f>VLOOKUP("Missouri, W.",'[1]Raw Data - S-19'!$A$9:$L$135,2,FALSE)</f>
        <v>48</v>
      </c>
      <c r="C81" s="3"/>
      <c r="D81" s="3">
        <f>VLOOKUP("Missouri, W.",'[1]Raw Data - S-19'!$A$9:$L$135,3,FALSE)</f>
        <v>39</v>
      </c>
      <c r="E81" s="3"/>
      <c r="F81" s="3">
        <f>VLOOKUP("Missouri, W.",'[1]Raw Data - S-19'!$A$9:$L$135,7,FALSE)</f>
        <v>404</v>
      </c>
      <c r="G81" s="3"/>
      <c r="H81" s="3">
        <f>VLOOKUP("Missouri, W.",'[1]Raw Data - S-19'!$A$9:$L$135,8,FALSE)</f>
        <v>1992</v>
      </c>
      <c r="I81" s="3"/>
      <c r="J81" s="3">
        <f>VLOOKUP("Missouri, W.",'[1]Raw Data - S-19'!$A$9:$L$135,12,FALSE)</f>
        <v>82</v>
      </c>
      <c r="K81" s="3"/>
    </row>
    <row r="82" spans="1:11" x14ac:dyDescent="0.2">
      <c r="A82" s="1" t="s">
        <v>42</v>
      </c>
      <c r="B82" s="3">
        <f>VLOOKUP("Nebraska",'[1]Raw Data - S-19'!$A$9:$L$135,2,FALSE)</f>
        <v>0</v>
      </c>
      <c r="C82" s="3"/>
      <c r="D82" s="3">
        <f>VLOOKUP("Nebraska",'[1]Raw Data - S-19'!$A$9:$L$135,3,FALSE)</f>
        <v>4</v>
      </c>
      <c r="E82" s="3"/>
      <c r="F82" s="3">
        <f>VLOOKUP("Nebraska",'[1]Raw Data - S-19'!$A$9:$L$135,7,FALSE)</f>
        <v>5</v>
      </c>
      <c r="G82" s="3"/>
      <c r="H82" s="3">
        <f>VLOOKUP("Nebraska",'[1]Raw Data - S-19'!$A$9:$L$135,8,FALSE)</f>
        <v>767</v>
      </c>
      <c r="I82" s="3"/>
      <c r="J82" s="3" t="str">
        <f>VLOOKUP("Nebraska",'[1]Raw Data - S-19'!$A$9:$L$135,12,FALSE)</f>
        <v>-</v>
      </c>
      <c r="K82" s="3"/>
    </row>
    <row r="83" spans="1:11" x14ac:dyDescent="0.2">
      <c r="A83" s="1" t="s">
        <v>41</v>
      </c>
      <c r="B83" s="3">
        <f>VLOOKUP("North Dakota",'[1]Raw Data - S-19'!$A$9:$L$135,2,FALSE)</f>
        <v>0</v>
      </c>
      <c r="C83" s="3"/>
      <c r="D83" s="3">
        <f>VLOOKUP("North Dakota",'[1]Raw Data - S-19'!$A$9:$L$135,3,FALSE)</f>
        <v>1</v>
      </c>
      <c r="E83" s="3"/>
      <c r="F83" s="3">
        <f>VLOOKUP("North Dakota",'[1]Raw Data - S-19'!$A$9:$L$135,7,FALSE)</f>
        <v>0</v>
      </c>
      <c r="G83" s="3"/>
      <c r="H83" s="3">
        <f>VLOOKUP("North Dakota",'[1]Raw Data - S-19'!$A$9:$L$135,8,FALSE)</f>
        <v>434</v>
      </c>
      <c r="I83" s="3"/>
      <c r="J83" s="3">
        <f>VLOOKUP("North Dakota",'[1]Raw Data - S-19'!$A$9:$L$135,12,FALSE)</f>
        <v>0</v>
      </c>
      <c r="K83" s="3"/>
    </row>
    <row r="84" spans="1:11" x14ac:dyDescent="0.2">
      <c r="A84" s="1" t="s">
        <v>40</v>
      </c>
      <c r="B84" s="3">
        <f>VLOOKUP("South Dakota",'[1]Raw Data - S-19'!$A$9:$L$135,2,FALSE)</f>
        <v>0</v>
      </c>
      <c r="C84" s="3"/>
      <c r="D84" s="3">
        <f>VLOOKUP("South Dakota",'[1]Raw Data - S-19'!$A$9:$L$135,3,FALSE)</f>
        <v>2</v>
      </c>
      <c r="E84" s="3"/>
      <c r="F84" s="3">
        <f>VLOOKUP("South Dakota",'[1]Raw Data - S-19'!$A$9:$L$135,7,FALSE)</f>
        <v>0</v>
      </c>
      <c r="G84" s="3"/>
      <c r="H84" s="3">
        <f>VLOOKUP("South Dakota",'[1]Raw Data - S-19'!$A$9:$L$135,8,FALSE)</f>
        <v>533</v>
      </c>
      <c r="I84" s="3"/>
      <c r="J84" s="3">
        <f>VLOOKUP("South Dakota",'[1]Raw Data - S-19'!$A$9:$L$135,12,FALSE)</f>
        <v>0</v>
      </c>
      <c r="K84" s="3"/>
    </row>
    <row r="85" spans="1:11" ht="13.5" customHeight="1" x14ac:dyDescent="0.2"/>
    <row r="86" spans="1:11" ht="13.5" customHeight="1" x14ac:dyDescent="0.25">
      <c r="A86" s="15" t="str">
        <f>"Table S-19. (September 30, "&amp;RIGHT('[1]Raw Data - S-19'!$G$1,4)&amp;"—Continued)"</f>
        <v>Table S-19. (September 30, 2022—Continued)</v>
      </c>
    </row>
    <row r="87" spans="1:11" ht="13.5" customHeight="1" x14ac:dyDescent="0.2"/>
    <row r="88" spans="1:11" ht="18" customHeight="1" x14ac:dyDescent="0.2">
      <c r="A88" s="11" t="s">
        <v>39</v>
      </c>
      <c r="B88" s="13" t="str">
        <f>"12 Months Ending September 30, "&amp;RIGHT('[1]Raw Data - S-19'!$G$1,4)</f>
        <v>12 Months Ending September 30, 2022</v>
      </c>
      <c r="C88" s="13"/>
      <c r="D88" s="13"/>
      <c r="E88" s="13"/>
      <c r="F88" s="14" t="str">
        <f>"Cumulative 1968 - "&amp;RIGHT('[1]Raw Data - S-19'!$G$1,4)</f>
        <v>Cumulative 1968 - 2022</v>
      </c>
      <c r="G88" s="13"/>
      <c r="H88" s="13"/>
      <c r="I88" s="13"/>
      <c r="J88" s="12" t="s">
        <v>38</v>
      </c>
      <c r="K88" s="11"/>
    </row>
    <row r="89" spans="1:11" ht="18" customHeight="1" x14ac:dyDescent="0.2">
      <c r="A89" s="6"/>
      <c r="B89" s="9" t="s">
        <v>37</v>
      </c>
      <c r="C89" s="10"/>
      <c r="D89" s="9" t="s">
        <v>36</v>
      </c>
      <c r="E89" s="8"/>
      <c r="F89" s="9" t="s">
        <v>37</v>
      </c>
      <c r="G89" s="10"/>
      <c r="H89" s="9" t="s">
        <v>36</v>
      </c>
      <c r="I89" s="8"/>
      <c r="J89" s="7"/>
      <c r="K89" s="6"/>
    </row>
    <row r="90" spans="1:11" ht="13.5" customHeight="1" x14ac:dyDescent="0.2">
      <c r="A90" s="5" t="s">
        <v>35</v>
      </c>
      <c r="B90" s="4">
        <f>IF(VLOOKUP("9TH",'[1]Raw Data - S-19'!$A$9:$L$135,2,FALSE)-SUM(B91:B105)=0,VLOOKUP("9TH",'[1]Raw Data - S-19'!$A$9:$L$135,2,FALSE),"ERROR")</f>
        <v>412</v>
      </c>
      <c r="C90" s="4"/>
      <c r="D90" s="4">
        <f>IF(VLOOKUP("9TH",'[1]Raw Data - S-19'!$A$9:$L$135,3,FALSE)-SUM(D91:D105)=0,VLOOKUP("9TH",'[1]Raw Data - S-19'!$A$9:$L$135,3,FALSE),"ERROR")</f>
        <v>306</v>
      </c>
      <c r="E90" s="4"/>
      <c r="F90" s="4">
        <f>IF(VLOOKUP("9TH",'[1]Raw Data - S-19'!$A$9:$L$135,7,FALSE)-SUM(F91:F105)=0,VLOOKUP("9TH",'[1]Raw Data - S-19'!$A$9:$L$135,7,FALSE),"ERROR")</f>
        <v>15487</v>
      </c>
      <c r="G90" s="4"/>
      <c r="H90" s="4">
        <f>IF(VLOOKUP("9TH",'[1]Raw Data - S-19'!$A$9:$L$135,8,FALSE)-SUM(H91:H105)=0,VLOOKUP("9TH",'[1]Raw Data - S-19'!$A$9:$L$135,8,FALSE),"ERROR")</f>
        <v>27194</v>
      </c>
      <c r="I90" s="4"/>
      <c r="J90" s="4">
        <f>IF(VLOOKUP("9TH",'[1]Raw Data - S-19'!$A$9:$L$135,12,FALSE)-SUM(J91:J105)=0,VLOOKUP("9TH",'[1]Raw Data - S-19'!$A$9:$L$135,12,FALSE),"ERROR")</f>
        <v>9702</v>
      </c>
      <c r="K90" s="4"/>
    </row>
    <row r="91" spans="1:11" x14ac:dyDescent="0.2">
      <c r="A91" s="1" t="s">
        <v>34</v>
      </c>
      <c r="B91" s="3">
        <f>VLOOKUP("Alaska",'[1]Raw Data - S-19'!$A$9:$L$135,2,FALSE)</f>
        <v>0</v>
      </c>
      <c r="C91" s="3"/>
      <c r="D91" s="3">
        <f>VLOOKUP("Alaska",'[1]Raw Data - S-19'!$A$9:$L$135,3,FALSE)</f>
        <v>2</v>
      </c>
      <c r="E91" s="3"/>
      <c r="F91" s="3">
        <f>VLOOKUP("Alaska",'[1]Raw Data - S-19'!$A$9:$L$135,7,FALSE)</f>
        <v>0</v>
      </c>
      <c r="G91" s="3"/>
      <c r="H91" s="3">
        <f>VLOOKUP("Alaska",'[1]Raw Data - S-19'!$A$9:$L$135,8,FALSE)</f>
        <v>324</v>
      </c>
      <c r="I91" s="3"/>
      <c r="J91" s="3">
        <f>VLOOKUP("Alaska",'[1]Raw Data - S-19'!$A$9:$L$135,12,FALSE)</f>
        <v>0</v>
      </c>
      <c r="K91" s="3"/>
    </row>
    <row r="92" spans="1:11" x14ac:dyDescent="0.2">
      <c r="A92" s="1" t="s">
        <v>33</v>
      </c>
      <c r="B92" s="3">
        <f>VLOOKUP("Arizona",'[1]Raw Data - S-19'!$A$9:$L$135,2,FALSE)</f>
        <v>0</v>
      </c>
      <c r="C92" s="3"/>
      <c r="D92" s="3">
        <f>VLOOKUP("Arizona",'[1]Raw Data - S-19'!$A$9:$L$135,3,FALSE)</f>
        <v>34</v>
      </c>
      <c r="E92" s="3"/>
      <c r="F92" s="3">
        <f>VLOOKUP("Arizona",'[1]Raw Data - S-19'!$A$9:$L$135,7,FALSE)</f>
        <v>556</v>
      </c>
      <c r="G92" s="3"/>
      <c r="H92" s="3">
        <f>VLOOKUP("Arizona",'[1]Raw Data - S-19'!$A$9:$L$135,8,FALSE)</f>
        <v>2078</v>
      </c>
      <c r="I92" s="3"/>
      <c r="J92" s="3">
        <f>VLOOKUP("Arizona",'[1]Raw Data - S-19'!$A$9:$L$135,12,FALSE)</f>
        <v>2</v>
      </c>
      <c r="K92" s="3"/>
    </row>
    <row r="93" spans="1:11" x14ac:dyDescent="0.2">
      <c r="A93" s="1" t="s">
        <v>32</v>
      </c>
      <c r="B93" s="3">
        <f>VLOOKUP("California, N.",'[1]Raw Data - S-19'!$A$9:$L$135,2,FALSE)</f>
        <v>336</v>
      </c>
      <c r="C93" s="3"/>
      <c r="D93" s="3">
        <f>VLOOKUP("California, N.",'[1]Raw Data - S-19'!$A$9:$L$135,3,FALSE)</f>
        <v>66</v>
      </c>
      <c r="E93" s="3"/>
      <c r="F93" s="3">
        <f>VLOOKUP("California, N.",'[1]Raw Data - S-19'!$A$9:$L$135,7,FALSE)</f>
        <v>9092</v>
      </c>
      <c r="G93" s="3"/>
      <c r="H93" s="3">
        <f>VLOOKUP("California, N.",'[1]Raw Data - S-19'!$A$9:$L$135,8,FALSE)</f>
        <v>5440</v>
      </c>
      <c r="I93" s="3"/>
      <c r="J93" s="3">
        <f>VLOOKUP("California, N.",'[1]Raw Data - S-19'!$A$9:$L$135,12,FALSE)</f>
        <v>8737</v>
      </c>
      <c r="K93" s="3"/>
    </row>
    <row r="94" spans="1:11" x14ac:dyDescent="0.2">
      <c r="A94" s="1" t="s">
        <v>31</v>
      </c>
      <c r="B94" s="3">
        <f>VLOOKUP("California, E.",'[1]Raw Data - S-19'!$A$9:$L$135,2,FALSE)</f>
        <v>0</v>
      </c>
      <c r="C94" s="3"/>
      <c r="D94" s="3">
        <f>VLOOKUP("California, E.",'[1]Raw Data - S-19'!$A$9:$L$135,3,FALSE)</f>
        <v>29</v>
      </c>
      <c r="E94" s="3"/>
      <c r="F94" s="3">
        <f>VLOOKUP("California, E.",'[1]Raw Data - S-19'!$A$9:$L$135,7,FALSE)</f>
        <v>12</v>
      </c>
      <c r="G94" s="3"/>
      <c r="H94" s="3">
        <f>VLOOKUP("California, E.",'[1]Raw Data - S-19'!$A$9:$L$135,8,FALSE)</f>
        <v>1994</v>
      </c>
      <c r="I94" s="3"/>
      <c r="J94" s="3">
        <f>VLOOKUP("California, E.",'[1]Raw Data - S-19'!$A$9:$L$135,12,FALSE)</f>
        <v>0</v>
      </c>
      <c r="K94" s="3"/>
    </row>
    <row r="95" spans="1:11" x14ac:dyDescent="0.2">
      <c r="A95" s="1" t="s">
        <v>30</v>
      </c>
      <c r="B95" s="3">
        <f>VLOOKUP("California, C.",'[1]Raw Data - S-19'!$A$9:$L$135,2,FALSE)</f>
        <v>71</v>
      </c>
      <c r="C95" s="3"/>
      <c r="D95" s="3">
        <f>VLOOKUP("California, C.",'[1]Raw Data - S-19'!$A$9:$L$135,3,FALSE)</f>
        <v>78</v>
      </c>
      <c r="E95" s="3"/>
      <c r="F95" s="3">
        <f>VLOOKUP("California, C.",'[1]Raw Data - S-19'!$A$9:$L$135,7,FALSE)</f>
        <v>2397</v>
      </c>
      <c r="G95" s="3"/>
      <c r="H95" s="3">
        <f>VLOOKUP("California, C.",'[1]Raw Data - S-19'!$A$9:$L$135,8,FALSE)</f>
        <v>8233</v>
      </c>
      <c r="I95" s="3"/>
      <c r="J95" s="3">
        <f>VLOOKUP("California, C.",'[1]Raw Data - S-19'!$A$9:$L$135,12,FALSE)</f>
        <v>261</v>
      </c>
      <c r="K95" s="3"/>
    </row>
    <row r="96" spans="1:11" x14ac:dyDescent="0.2">
      <c r="A96" s="1" t="s">
        <v>29</v>
      </c>
      <c r="B96" s="3">
        <f>VLOOKUP("California, S.",'[1]Raw Data - S-19'!$A$9:$L$135,2,FALSE)</f>
        <v>5</v>
      </c>
      <c r="C96" s="3"/>
      <c r="D96" s="3">
        <f>VLOOKUP("California, S.",'[1]Raw Data - S-19'!$A$9:$L$135,3,FALSE)</f>
        <v>14</v>
      </c>
      <c r="E96" s="3"/>
      <c r="F96" s="3">
        <f>VLOOKUP("California, S.",'[1]Raw Data - S-19'!$A$9:$L$135,7,FALSE)</f>
        <v>972</v>
      </c>
      <c r="G96" s="3"/>
      <c r="H96" s="3">
        <f>VLOOKUP("California, S.",'[1]Raw Data - S-19'!$A$9:$L$135,8,FALSE)</f>
        <v>2853</v>
      </c>
      <c r="I96" s="3"/>
      <c r="J96" s="3">
        <f>VLOOKUP("California, S.",'[1]Raw Data - S-19'!$A$9:$L$135,12,FALSE)</f>
        <v>702</v>
      </c>
      <c r="K96" s="3"/>
    </row>
    <row r="97" spans="1:11" x14ac:dyDescent="0.2">
      <c r="A97" s="1" t="s">
        <v>28</v>
      </c>
      <c r="B97" s="3">
        <f>VLOOKUP("Hawaii",'[1]Raw Data - S-19'!$A$9:$L$135,2,FALSE)</f>
        <v>0</v>
      </c>
      <c r="C97" s="3"/>
      <c r="D97" s="3">
        <f>VLOOKUP("Hawaii",'[1]Raw Data - S-19'!$A$9:$L$135,3,FALSE)</f>
        <v>3</v>
      </c>
      <c r="E97" s="3"/>
      <c r="F97" s="3">
        <f>VLOOKUP("Hawaii",'[1]Raw Data - S-19'!$A$9:$L$135,7,FALSE)</f>
        <v>14</v>
      </c>
      <c r="G97" s="3"/>
      <c r="H97" s="3">
        <f>VLOOKUP("Hawaii",'[1]Raw Data - S-19'!$A$9:$L$135,8,FALSE)</f>
        <v>652</v>
      </c>
      <c r="I97" s="3"/>
      <c r="J97" s="3">
        <f>VLOOKUP("Hawaii",'[1]Raw Data - S-19'!$A$9:$L$135,12,FALSE)</f>
        <v>0</v>
      </c>
      <c r="K97" s="3"/>
    </row>
    <row r="98" spans="1:11" x14ac:dyDescent="0.2">
      <c r="A98" s="1" t="s">
        <v>27</v>
      </c>
      <c r="B98" s="3">
        <f>VLOOKUP("Idaho",'[1]Raw Data - S-19'!$A$9:$L$135,2,FALSE)</f>
        <v>0</v>
      </c>
      <c r="C98" s="3"/>
      <c r="D98" s="3">
        <f>VLOOKUP("Idaho",'[1]Raw Data - S-19'!$A$9:$L$135,3,FALSE)</f>
        <v>0</v>
      </c>
      <c r="E98" s="3"/>
      <c r="F98" s="3">
        <f>VLOOKUP("Idaho",'[1]Raw Data - S-19'!$A$9:$L$135,7,FALSE)</f>
        <v>13</v>
      </c>
      <c r="G98" s="3"/>
      <c r="H98" s="3">
        <f>VLOOKUP("Idaho",'[1]Raw Data - S-19'!$A$9:$L$135,8,FALSE)</f>
        <v>565</v>
      </c>
      <c r="I98" s="3"/>
      <c r="J98" s="3">
        <f>VLOOKUP("Idaho",'[1]Raw Data - S-19'!$A$9:$L$135,12,FALSE)</f>
        <v>0</v>
      </c>
      <c r="K98" s="3"/>
    </row>
    <row r="99" spans="1:11" x14ac:dyDescent="0.2">
      <c r="A99" s="1" t="s">
        <v>26</v>
      </c>
      <c r="B99" s="3">
        <f>VLOOKUP("Montana",'[1]Raw Data - S-19'!$A$9:$L$135,2,FALSE)</f>
        <v>0</v>
      </c>
      <c r="C99" s="3"/>
      <c r="D99" s="3">
        <f>VLOOKUP("Montana",'[1]Raw Data - S-19'!$A$9:$L$135,3,FALSE)</f>
        <v>9</v>
      </c>
      <c r="E99" s="3"/>
      <c r="F99" s="3">
        <f>VLOOKUP("Montana",'[1]Raw Data - S-19'!$A$9:$L$135,7,FALSE)</f>
        <v>4</v>
      </c>
      <c r="G99" s="3"/>
      <c r="H99" s="3">
        <f>VLOOKUP("Montana",'[1]Raw Data - S-19'!$A$9:$L$135,8,FALSE)</f>
        <v>473</v>
      </c>
      <c r="I99" s="3"/>
      <c r="J99" s="3">
        <f>VLOOKUP("Montana",'[1]Raw Data - S-19'!$A$9:$L$135,12,FALSE)</f>
        <v>0</v>
      </c>
      <c r="K99" s="3"/>
    </row>
    <row r="100" spans="1:11" x14ac:dyDescent="0.2">
      <c r="A100" s="1" t="s">
        <v>25</v>
      </c>
      <c r="B100" s="3">
        <f>VLOOKUP("Nevada",'[1]Raw Data - S-19'!$A$9:$L$135,2,FALSE)</f>
        <v>0</v>
      </c>
      <c r="C100" s="3"/>
      <c r="D100" s="3">
        <f>VLOOKUP("Nevada",'[1]Raw Data - S-19'!$A$9:$L$135,3,FALSE)</f>
        <v>10</v>
      </c>
      <c r="E100" s="3"/>
      <c r="F100" s="3">
        <f>VLOOKUP("Nevada",'[1]Raw Data - S-19'!$A$9:$L$135,7,FALSE)</f>
        <v>219</v>
      </c>
      <c r="G100" s="3"/>
      <c r="H100" s="3">
        <f>VLOOKUP("Nevada",'[1]Raw Data - S-19'!$A$9:$L$135,8,FALSE)</f>
        <v>1281</v>
      </c>
      <c r="I100" s="3"/>
      <c r="J100" s="3">
        <f>VLOOKUP("Nevada",'[1]Raw Data - S-19'!$A$9:$L$135,12,FALSE)</f>
        <v>0</v>
      </c>
      <c r="K100" s="3"/>
    </row>
    <row r="101" spans="1:11" x14ac:dyDescent="0.2">
      <c r="A101" s="1" t="s">
        <v>24</v>
      </c>
      <c r="B101" s="3">
        <f>VLOOKUP("Oregon",'[1]Raw Data - S-19'!$A$9:$L$135,2,FALSE)</f>
        <v>0</v>
      </c>
      <c r="C101" s="3"/>
      <c r="D101" s="3">
        <f>VLOOKUP("Oregon",'[1]Raw Data - S-19'!$A$9:$L$135,3,FALSE)</f>
        <v>10</v>
      </c>
      <c r="E101" s="3"/>
      <c r="F101" s="3">
        <f>VLOOKUP("Oregon",'[1]Raw Data - S-19'!$A$9:$L$135,7,FALSE)</f>
        <v>57</v>
      </c>
      <c r="G101" s="3"/>
      <c r="H101" s="3">
        <f>VLOOKUP("Oregon",'[1]Raw Data - S-19'!$A$9:$L$135,8,FALSE)</f>
        <v>1298</v>
      </c>
      <c r="I101" s="3"/>
      <c r="J101" s="3">
        <f>VLOOKUP("Oregon",'[1]Raw Data - S-19'!$A$9:$L$135,12,FALSE)</f>
        <v>0</v>
      </c>
      <c r="K101" s="3"/>
    </row>
    <row r="102" spans="1:11" x14ac:dyDescent="0.2">
      <c r="A102" s="1" t="s">
        <v>23</v>
      </c>
      <c r="B102" s="3">
        <f>VLOOKUP("Washington, E.",'[1]Raw Data - S-19'!$A$9:$L$135,2,FALSE)</f>
        <v>0</v>
      </c>
      <c r="C102" s="3"/>
      <c r="D102" s="3">
        <f>VLOOKUP("Washington, E.",'[1]Raw Data - S-19'!$A$9:$L$135,3,FALSE)</f>
        <v>3</v>
      </c>
      <c r="E102" s="3"/>
      <c r="F102" s="3">
        <f>VLOOKUP("Washington, E.",'[1]Raw Data - S-19'!$A$9:$L$135,7,FALSE)</f>
        <v>4</v>
      </c>
      <c r="G102" s="3"/>
      <c r="H102" s="3">
        <f>VLOOKUP("Washington, E.",'[1]Raw Data - S-19'!$A$9:$L$135,8,FALSE)</f>
        <v>407</v>
      </c>
      <c r="I102" s="3"/>
      <c r="J102" s="3">
        <f>VLOOKUP("Washington, E.",'[1]Raw Data - S-19'!$A$9:$L$135,12,FALSE)</f>
        <v>0</v>
      </c>
      <c r="K102" s="3"/>
    </row>
    <row r="103" spans="1:11" x14ac:dyDescent="0.2">
      <c r="A103" s="1" t="s">
        <v>22</v>
      </c>
      <c r="B103" s="3">
        <f>VLOOKUP("Washington, W",'[1]Raw Data - S-19'!$A$9:$L$135,2,FALSE)</f>
        <v>0</v>
      </c>
      <c r="C103" s="3"/>
      <c r="D103" s="3">
        <f>VLOOKUP("Washington, W",'[1]Raw Data - S-19'!$A$9:$L$135,3,FALSE)</f>
        <v>48</v>
      </c>
      <c r="E103" s="3"/>
      <c r="F103" s="3">
        <f>VLOOKUP("Washington, W",'[1]Raw Data - S-19'!$A$9:$L$135,7,FALSE)</f>
        <v>2147</v>
      </c>
      <c r="G103" s="3"/>
      <c r="H103" s="3">
        <f>VLOOKUP("Washington, W",'[1]Raw Data - S-19'!$A$9:$L$135,8,FALSE)</f>
        <v>1552</v>
      </c>
      <c r="I103" s="3"/>
      <c r="J103" s="3">
        <f>VLOOKUP("Washington, W",'[1]Raw Data - S-19'!$A$9:$L$135,12,FALSE)</f>
        <v>0</v>
      </c>
      <c r="K103" s="3"/>
    </row>
    <row r="104" spans="1:11" x14ac:dyDescent="0.2">
      <c r="A104" s="1" t="s">
        <v>21</v>
      </c>
      <c r="B104" s="3">
        <f>VLOOKUP("Guam",'[1]Raw Data - S-19'!$A$9:$L$135,2,FALSE)</f>
        <v>0</v>
      </c>
      <c r="C104" s="3"/>
      <c r="D104" s="3">
        <f>VLOOKUP("Guam",'[1]Raw Data - S-19'!$A$9:$L$135,3,FALSE)</f>
        <v>0</v>
      </c>
      <c r="E104" s="3"/>
      <c r="F104" s="3">
        <f>VLOOKUP("Guam",'[1]Raw Data - S-19'!$A$9:$L$135,7,FALSE)</f>
        <v>0</v>
      </c>
      <c r="G104" s="3"/>
      <c r="H104" s="3">
        <f>VLOOKUP("Guam",'[1]Raw Data - S-19'!$A$9:$L$135,8,FALSE)</f>
        <v>40</v>
      </c>
      <c r="I104" s="3"/>
      <c r="J104" s="3">
        <f>VLOOKUP("Guam",'[1]Raw Data - S-19'!$A$9:$L$135,12,FALSE)</f>
        <v>0</v>
      </c>
      <c r="K104" s="3"/>
    </row>
    <row r="105" spans="1:11" x14ac:dyDescent="0.2">
      <c r="A105" s="1" t="s">
        <v>20</v>
      </c>
      <c r="B105" s="3">
        <f>VLOOKUP("Northern Mariana Islands",'[1]Raw Data - S-19'!$A$9:$L$135,2,FALSE)</f>
        <v>0</v>
      </c>
      <c r="C105" s="3"/>
      <c r="D105" s="3">
        <f>VLOOKUP("Northern Mariana Islands",'[1]Raw Data - S-19'!$A$9:$L$135,3,FALSE)</f>
        <v>0</v>
      </c>
      <c r="E105" s="3"/>
      <c r="F105" s="3">
        <f>VLOOKUP("Northern Mariana Islands",'[1]Raw Data - S-19'!$A$9:$L$135,7,FALSE)</f>
        <v>0</v>
      </c>
      <c r="G105" s="3"/>
      <c r="H105" s="3">
        <f>VLOOKUP("Northern Mariana Islands",'[1]Raw Data - S-19'!$A$9:$L$135,8,FALSE)</f>
        <v>4</v>
      </c>
      <c r="I105" s="3"/>
      <c r="J105" s="3">
        <f>VLOOKUP("Northern Mariana Islands",'[1]Raw Data - S-19'!$A$9:$L$135,12,FALSE)</f>
        <v>0</v>
      </c>
      <c r="K105" s="3"/>
    </row>
    <row r="106" spans="1:11" ht="16.5" customHeight="1" x14ac:dyDescent="0.2">
      <c r="A106" s="5" t="s">
        <v>19</v>
      </c>
      <c r="B106" s="4">
        <f>IF(VLOOKUP("10TH",'[1]Raw Data - S-19'!$A$9:$L$135,2,FALSE)-SUM(B107:B114)=0,VLOOKUP("10TH",'[1]Raw Data - S-19'!$A$9:$L$135,2,FALSE),"ERROR")</f>
        <v>6</v>
      </c>
      <c r="C106" s="4"/>
      <c r="D106" s="4">
        <f>IF(VLOOKUP("10TH",'[1]Raw Data - S-19'!$A$9:$L$135,3,FALSE)-SUM(D107:D114)=0,VLOOKUP("10TH",'[1]Raw Data - S-19'!$A$9:$L$135,3,FALSE),"ERROR")</f>
        <v>70</v>
      </c>
      <c r="E106" s="4"/>
      <c r="F106" s="4">
        <f>IF(VLOOKUP("10TH",'[1]Raw Data - S-19'!$A$9:$L$135,7,FALSE)-SUM(F107:F114)=0,VLOOKUP("10TH",'[1]Raw Data - S-19'!$A$9:$L$135,7,FALSE),"ERROR")</f>
        <v>4525</v>
      </c>
      <c r="G106" s="4"/>
      <c r="H106" s="4">
        <f>IF(VLOOKUP("10TH",'[1]Raw Data - S-19'!$A$9:$L$135,8,FALSE)-SUM(H107:H114)=0,VLOOKUP("10TH",'[1]Raw Data - S-19'!$A$9:$L$135,8,FALSE),"ERROR")</f>
        <v>8498</v>
      </c>
      <c r="I106" s="4"/>
      <c r="J106" s="4">
        <f>IF(VLOOKUP("10TH",'[1]Raw Data - S-19'!$A$9:$L$135,12,FALSE)-SUM(J107:J114)=0,VLOOKUP("10TH",'[1]Raw Data - S-19'!$A$9:$L$135,12,FALSE),"ERROR")</f>
        <v>46</v>
      </c>
      <c r="K106" s="4"/>
    </row>
    <row r="107" spans="1:11" x14ac:dyDescent="0.2">
      <c r="A107" s="1" t="s">
        <v>18</v>
      </c>
      <c r="B107" s="3">
        <f>VLOOKUP("Colorado",'[1]Raw Data - S-19'!$A$9:$L$135,2,FALSE)</f>
        <v>0</v>
      </c>
      <c r="C107" s="3"/>
      <c r="D107" s="3">
        <f>VLOOKUP("Colorado",'[1]Raw Data - S-19'!$A$9:$L$135,3,FALSE)</f>
        <v>12</v>
      </c>
      <c r="E107" s="3"/>
      <c r="F107" s="3">
        <f>VLOOKUP("Colorado",'[1]Raw Data - S-19'!$A$9:$L$135,7,FALSE)</f>
        <v>141</v>
      </c>
      <c r="G107" s="3"/>
      <c r="H107" s="3">
        <f>VLOOKUP("Colorado",'[1]Raw Data - S-19'!$A$9:$L$135,8,FALSE)</f>
        <v>1767</v>
      </c>
      <c r="I107" s="3"/>
      <c r="J107" s="3">
        <f>VLOOKUP("Colorado",'[1]Raw Data - S-19'!$A$9:$L$135,12,FALSE)</f>
        <v>0</v>
      </c>
      <c r="K107" s="3"/>
    </row>
    <row r="108" spans="1:11" x14ac:dyDescent="0.2">
      <c r="A108" s="1" t="s">
        <v>17</v>
      </c>
      <c r="B108" s="3">
        <f>VLOOKUP("Kansas",'[1]Raw Data - S-19'!$A$9:$L$135,2,FALSE)</f>
        <v>4</v>
      </c>
      <c r="C108" s="3"/>
      <c r="D108" s="3">
        <f>VLOOKUP("Kansas",'[1]Raw Data - S-19'!$A$9:$L$135,3,FALSE)</f>
        <v>10</v>
      </c>
      <c r="E108" s="3"/>
      <c r="F108" s="3">
        <f>VLOOKUP("Kansas",'[1]Raw Data - S-19'!$A$9:$L$135,7,FALSE)</f>
        <v>3869</v>
      </c>
      <c r="G108" s="3"/>
      <c r="H108" s="3">
        <f>VLOOKUP("Kansas",'[1]Raw Data - S-19'!$A$9:$L$135,8,FALSE)</f>
        <v>1221</v>
      </c>
      <c r="I108" s="3"/>
      <c r="J108" s="3">
        <f>VLOOKUP("Kansas",'[1]Raw Data - S-19'!$A$9:$L$135,12,FALSE)</f>
        <v>3</v>
      </c>
      <c r="K108" s="3"/>
    </row>
    <row r="109" spans="1:11" x14ac:dyDescent="0.2">
      <c r="A109" s="1" t="s">
        <v>16</v>
      </c>
      <c r="B109" s="3">
        <f>VLOOKUP("New Mexico",'[1]Raw Data - S-19'!$A$9:$L$135,2,FALSE)</f>
        <v>1</v>
      </c>
      <c r="C109" s="3"/>
      <c r="D109" s="3">
        <f>VLOOKUP("New Mexico",'[1]Raw Data - S-19'!$A$9:$L$135,3,FALSE)</f>
        <v>14</v>
      </c>
      <c r="E109" s="3"/>
      <c r="F109" s="3">
        <f>VLOOKUP("New Mexico",'[1]Raw Data - S-19'!$A$9:$L$135,7,FALSE)</f>
        <v>19</v>
      </c>
      <c r="G109" s="3"/>
      <c r="H109" s="3">
        <f>VLOOKUP("New Mexico",'[1]Raw Data - S-19'!$A$9:$L$135,8,FALSE)</f>
        <v>1100</v>
      </c>
      <c r="I109" s="3"/>
      <c r="J109" s="3">
        <f>VLOOKUP("New Mexico",'[1]Raw Data - S-19'!$A$9:$L$135,12,FALSE)</f>
        <v>23</v>
      </c>
      <c r="K109" s="3"/>
    </row>
    <row r="110" spans="1:11" x14ac:dyDescent="0.2">
      <c r="A110" s="1" t="s">
        <v>15</v>
      </c>
      <c r="B110" s="3">
        <f>VLOOKUP("Oklahoma, N.",'[1]Raw Data - S-19'!$A$9:$L$135,2,FALSE)</f>
        <v>1</v>
      </c>
      <c r="C110" s="3"/>
      <c r="D110" s="3">
        <f>VLOOKUP("Oklahoma, N.",'[1]Raw Data - S-19'!$A$9:$L$135,3,FALSE)</f>
        <v>5</v>
      </c>
      <c r="E110" s="3"/>
      <c r="F110" s="3">
        <f>VLOOKUP("Oklahoma, N.",'[1]Raw Data - S-19'!$A$9:$L$135,7,FALSE)</f>
        <v>32</v>
      </c>
      <c r="G110" s="3"/>
      <c r="H110" s="3">
        <f>VLOOKUP("Oklahoma, N.",'[1]Raw Data - S-19'!$A$9:$L$135,8,FALSE)</f>
        <v>1131</v>
      </c>
      <c r="I110" s="3"/>
      <c r="J110" s="3">
        <f>VLOOKUP("Oklahoma, N.",'[1]Raw Data - S-19'!$A$9:$L$135,12,FALSE)</f>
        <v>15</v>
      </c>
      <c r="K110" s="3"/>
    </row>
    <row r="111" spans="1:11" x14ac:dyDescent="0.2">
      <c r="A111" s="1" t="s">
        <v>14</v>
      </c>
      <c r="B111" s="3">
        <f>VLOOKUP("Oklahoma, E.",'[1]Raw Data - S-19'!$A$9:$L$135,2,FALSE)</f>
        <v>0</v>
      </c>
      <c r="C111" s="3"/>
      <c r="D111" s="3">
        <f>VLOOKUP("Oklahoma, E.",'[1]Raw Data - S-19'!$A$9:$L$135,3,FALSE)</f>
        <v>2</v>
      </c>
      <c r="E111" s="3"/>
      <c r="F111" s="3">
        <f>VLOOKUP("Oklahoma, E.",'[1]Raw Data - S-19'!$A$9:$L$135,7,FALSE)</f>
        <v>11</v>
      </c>
      <c r="G111" s="3"/>
      <c r="H111" s="3">
        <f>VLOOKUP("Oklahoma, E.",'[1]Raw Data - S-19'!$A$9:$L$135,8,FALSE)</f>
        <v>310</v>
      </c>
      <c r="I111" s="3"/>
      <c r="J111" s="3">
        <f>VLOOKUP("Oklahoma, E.",'[1]Raw Data - S-19'!$A$9:$L$135,12,FALSE)</f>
        <v>5</v>
      </c>
      <c r="K111" s="3"/>
    </row>
    <row r="112" spans="1:11" x14ac:dyDescent="0.2">
      <c r="A112" s="1" t="s">
        <v>13</v>
      </c>
      <c r="B112" s="3">
        <f>VLOOKUP("Oklahoma, W.",'[1]Raw Data - S-19'!$A$9:$L$135,2,FALSE)</f>
        <v>0</v>
      </c>
      <c r="C112" s="3"/>
      <c r="D112" s="3">
        <f>VLOOKUP("Oklahoma, W.",'[1]Raw Data - S-19'!$A$9:$L$135,3,FALSE)</f>
        <v>13</v>
      </c>
      <c r="E112" s="3"/>
      <c r="F112" s="3">
        <f>VLOOKUP("Oklahoma, W.",'[1]Raw Data - S-19'!$A$9:$L$135,7,FALSE)</f>
        <v>234</v>
      </c>
      <c r="G112" s="3"/>
      <c r="H112" s="3">
        <f>VLOOKUP("Oklahoma, W.",'[1]Raw Data - S-19'!$A$9:$L$135,8,FALSE)</f>
        <v>1310</v>
      </c>
      <c r="I112" s="3"/>
      <c r="J112" s="3">
        <f>VLOOKUP("Oklahoma, W.",'[1]Raw Data - S-19'!$A$9:$L$135,12,FALSE)</f>
        <v>0</v>
      </c>
      <c r="K112" s="3"/>
    </row>
    <row r="113" spans="1:11" x14ac:dyDescent="0.2">
      <c r="A113" s="1" t="s">
        <v>12</v>
      </c>
      <c r="B113" s="3">
        <f>VLOOKUP("Utah",'[1]Raw Data - S-19'!$A$9:$L$135,2,FALSE)</f>
        <v>0</v>
      </c>
      <c r="C113" s="3"/>
      <c r="D113" s="3">
        <f>VLOOKUP("Utah",'[1]Raw Data - S-19'!$A$9:$L$135,3,FALSE)</f>
        <v>14</v>
      </c>
      <c r="E113" s="3"/>
      <c r="F113" s="3">
        <f>VLOOKUP("Utah",'[1]Raw Data - S-19'!$A$9:$L$135,7,FALSE)</f>
        <v>35</v>
      </c>
      <c r="G113" s="3"/>
      <c r="H113" s="3">
        <f>VLOOKUP("Utah",'[1]Raw Data - S-19'!$A$9:$L$135,8,FALSE)</f>
        <v>1488</v>
      </c>
      <c r="I113" s="3"/>
      <c r="J113" s="3">
        <f>VLOOKUP("Utah",'[1]Raw Data - S-19'!$A$9:$L$135,12,FALSE)</f>
        <v>0</v>
      </c>
      <c r="K113" s="3"/>
    </row>
    <row r="114" spans="1:11" x14ac:dyDescent="0.2">
      <c r="A114" s="1" t="s">
        <v>11</v>
      </c>
      <c r="B114" s="3">
        <f>VLOOKUP("Wyoming",'[1]Raw Data - S-19'!$A$9:$L$135,2,FALSE)</f>
        <v>0</v>
      </c>
      <c r="C114" s="3"/>
      <c r="D114" s="3">
        <f>VLOOKUP("Wyoming",'[1]Raw Data - S-19'!$A$9:$L$135,3,FALSE)</f>
        <v>0</v>
      </c>
      <c r="E114" s="3"/>
      <c r="F114" s="3">
        <f>VLOOKUP("Wyoming",'[1]Raw Data - S-19'!$A$9:$L$135,7,FALSE)</f>
        <v>184</v>
      </c>
      <c r="G114" s="3"/>
      <c r="H114" s="3">
        <f>VLOOKUP("Wyoming",'[1]Raw Data - S-19'!$A$9:$L$135,8,FALSE)</f>
        <v>171</v>
      </c>
      <c r="I114" s="3"/>
      <c r="J114" s="3">
        <f>VLOOKUP("Wyoming",'[1]Raw Data - S-19'!$A$9:$L$135,12,FALSE)</f>
        <v>0</v>
      </c>
      <c r="K114" s="3"/>
    </row>
    <row r="115" spans="1:11" ht="16.5" customHeight="1" x14ac:dyDescent="0.2">
      <c r="A115" s="5" t="s">
        <v>10</v>
      </c>
      <c r="B115" s="4">
        <f>IF(VLOOKUP("11TH",'[1]Raw Data - S-19'!$A$9:$L$135,2,FALSE)-SUM(B116:B124)=0,VLOOKUP("11TH",'[1]Raw Data - S-19'!$A$9:$L$135,2,FALSE),"ERROR")</f>
        <v>719</v>
      </c>
      <c r="C115" s="4"/>
      <c r="D115" s="4">
        <f>IF(VLOOKUP("11TH",'[1]Raw Data - S-19'!$A$9:$L$135,3,FALSE)-SUM(D116:D124)=0,VLOOKUP("11TH",'[1]Raw Data - S-19'!$A$9:$L$135,3,FALSE),"ERROR")</f>
        <v>191</v>
      </c>
      <c r="E115" s="4"/>
      <c r="F115" s="4">
        <f>IF(VLOOKUP("11TH",'[1]Raw Data - S-19'!$A$9:$L$135,7,FALSE)-SUM(F116:F124)=0,VLOOKUP("11TH",'[1]Raw Data - S-19'!$A$9:$L$135,7,FALSE),"ERROR")</f>
        <v>34958</v>
      </c>
      <c r="G115" s="4"/>
      <c r="H115" s="4">
        <f>IF(VLOOKUP("11TH",'[1]Raw Data - S-19'!$A$9:$L$135,8,FALSE)-SUM(H116:H124)=0,VLOOKUP("11TH",'[1]Raw Data - S-19'!$A$9:$L$135,8,FALSE),"ERROR")</f>
        <v>21113</v>
      </c>
      <c r="I115" s="4"/>
      <c r="J115" s="4">
        <f>IF(VLOOKUP("11TH",'[1]Raw Data - S-19'!$A$9:$L$135,12,FALSE)-SUM(J116:J124)=0,VLOOKUP("11TH",'[1]Raw Data - S-19'!$A$9:$L$135,12,FALSE),"ERROR")</f>
        <v>262684</v>
      </c>
      <c r="K115" s="4"/>
    </row>
    <row r="116" spans="1:11" x14ac:dyDescent="0.2">
      <c r="A116" s="1" t="s">
        <v>9</v>
      </c>
      <c r="B116" s="3">
        <f>VLOOKUP("Alabama, N.",'[1]Raw Data - S-19'!$A$9:$L$135,2,FALSE)</f>
        <v>2</v>
      </c>
      <c r="C116" s="3"/>
      <c r="D116" s="3">
        <f>VLOOKUP("Alabama, N.",'[1]Raw Data - S-19'!$A$9:$L$135,3,FALSE)</f>
        <v>19</v>
      </c>
      <c r="E116" s="3"/>
      <c r="F116" s="3">
        <f>VLOOKUP("Alabama, N.",'[1]Raw Data - S-19'!$A$9:$L$135,7,FALSE)</f>
        <v>26723</v>
      </c>
      <c r="G116" s="3"/>
      <c r="H116" s="3">
        <f>VLOOKUP("Alabama, N.",'[1]Raw Data - S-19'!$A$9:$L$135,8,FALSE)</f>
        <v>3132</v>
      </c>
      <c r="I116" s="3"/>
      <c r="J116" s="3">
        <f>VLOOKUP("Alabama, N.",'[1]Raw Data - S-19'!$A$9:$L$135,12,FALSE)</f>
        <v>22</v>
      </c>
      <c r="K116" s="3"/>
    </row>
    <row r="117" spans="1:11" x14ac:dyDescent="0.2">
      <c r="A117" s="1" t="s">
        <v>8</v>
      </c>
      <c r="B117" s="3">
        <f>VLOOKUP("Alabama, M.",'[1]Raw Data - S-19'!$A$9:$L$135,2,FALSE)</f>
        <v>0</v>
      </c>
      <c r="C117" s="3"/>
      <c r="D117" s="3">
        <f>VLOOKUP("Alabama, M.",'[1]Raw Data - S-19'!$A$9:$L$135,3,FALSE)</f>
        <v>7</v>
      </c>
      <c r="E117" s="3"/>
      <c r="F117" s="3">
        <f>VLOOKUP("Alabama, M.",'[1]Raw Data - S-19'!$A$9:$L$135,7,FALSE)</f>
        <v>19</v>
      </c>
      <c r="G117" s="3"/>
      <c r="H117" s="3">
        <f>VLOOKUP("Alabama, M.",'[1]Raw Data - S-19'!$A$9:$L$135,8,FALSE)</f>
        <v>871</v>
      </c>
      <c r="I117" s="3"/>
      <c r="J117" s="3">
        <f>VLOOKUP("Alabama, M.",'[1]Raw Data - S-19'!$A$9:$L$135,12,FALSE)</f>
        <v>0</v>
      </c>
      <c r="K117" s="3"/>
    </row>
    <row r="118" spans="1:11" x14ac:dyDescent="0.2">
      <c r="A118" s="1" t="s">
        <v>7</v>
      </c>
      <c r="B118" s="3">
        <f>VLOOKUP("Alabama, S.",'[1]Raw Data - S-19'!$A$9:$L$135,2,FALSE)</f>
        <v>0</v>
      </c>
      <c r="C118" s="3"/>
      <c r="D118" s="3">
        <f>VLOOKUP("Alabama, S.",'[1]Raw Data - S-19'!$A$9:$L$135,3,FALSE)</f>
        <v>13</v>
      </c>
      <c r="E118" s="3"/>
      <c r="F118" s="3">
        <f>VLOOKUP("Alabama, S.",'[1]Raw Data - S-19'!$A$9:$L$135,7,FALSE)</f>
        <v>25</v>
      </c>
      <c r="G118" s="3"/>
      <c r="H118" s="3">
        <f>VLOOKUP("Alabama, S.",'[1]Raw Data - S-19'!$A$9:$L$135,8,FALSE)</f>
        <v>857</v>
      </c>
      <c r="I118" s="3"/>
      <c r="J118" s="3">
        <f>VLOOKUP("Alabama, S.",'[1]Raw Data - S-19'!$A$9:$L$135,12,FALSE)</f>
        <v>0</v>
      </c>
      <c r="K118" s="3"/>
    </row>
    <row r="119" spans="1:11" x14ac:dyDescent="0.2">
      <c r="A119" s="1" t="s">
        <v>6</v>
      </c>
      <c r="B119" s="3">
        <f>VLOOKUP("Florida, N.",'[1]Raw Data - S-19'!$A$9:$L$135,2,FALSE)</f>
        <v>619</v>
      </c>
      <c r="C119" s="3"/>
      <c r="D119" s="3">
        <f>VLOOKUP("Florida, N.",'[1]Raw Data - S-19'!$A$9:$L$135,3,FALSE)</f>
        <v>20</v>
      </c>
      <c r="E119" s="3"/>
      <c r="F119" s="3">
        <f>VLOOKUP("Florida, N.",'[1]Raw Data - S-19'!$A$9:$L$135,7,FALSE)</f>
        <v>2430</v>
      </c>
      <c r="G119" s="3"/>
      <c r="H119" s="3">
        <f>VLOOKUP("Florida, N.",'[1]Raw Data - S-19'!$A$9:$L$135,8,FALSE)</f>
        <v>1124</v>
      </c>
      <c r="I119" s="3"/>
      <c r="J119" s="3">
        <f>VLOOKUP("Florida, N.",'[1]Raw Data - S-19'!$A$9:$L$135,12,FALSE)</f>
        <v>255151</v>
      </c>
      <c r="K119" s="3"/>
    </row>
    <row r="120" spans="1:11" x14ac:dyDescent="0.2">
      <c r="A120" s="1" t="s">
        <v>5</v>
      </c>
      <c r="B120" s="3">
        <f>VLOOKUP("Florida, M.",'[1]Raw Data - S-19'!$A$9:$L$135,2,FALSE)</f>
        <v>10</v>
      </c>
      <c r="C120" s="3"/>
      <c r="D120" s="3">
        <f>VLOOKUP("Florida, M.",'[1]Raw Data - S-19'!$A$9:$L$135,3,FALSE)</f>
        <v>49</v>
      </c>
      <c r="E120" s="3"/>
      <c r="F120" s="3">
        <f>VLOOKUP("Florida, M.",'[1]Raw Data - S-19'!$A$9:$L$135,7,FALSE)</f>
        <v>1566</v>
      </c>
      <c r="G120" s="3"/>
      <c r="H120" s="3">
        <f>VLOOKUP("Florida, M.",'[1]Raw Data - S-19'!$A$9:$L$135,8,FALSE)</f>
        <v>5302</v>
      </c>
      <c r="I120" s="3"/>
      <c r="J120" s="3">
        <f>VLOOKUP("Florida, M.",'[1]Raw Data - S-19'!$A$9:$L$135,12,FALSE)</f>
        <v>65</v>
      </c>
      <c r="K120" s="3"/>
    </row>
    <row r="121" spans="1:11" x14ac:dyDescent="0.2">
      <c r="A121" s="1" t="s">
        <v>4</v>
      </c>
      <c r="B121" s="3">
        <f>VLOOKUP("Florida, S.",'[1]Raw Data - S-19'!$A$9:$L$135,2,FALSE)</f>
        <v>57</v>
      </c>
      <c r="C121" s="3"/>
      <c r="D121" s="3">
        <f>VLOOKUP("Florida, S.",'[1]Raw Data - S-19'!$A$9:$L$135,3,FALSE)</f>
        <v>35</v>
      </c>
      <c r="E121" s="3"/>
      <c r="F121" s="3">
        <f>VLOOKUP("Florida, S.",'[1]Raw Data - S-19'!$A$9:$L$135,7,FALSE)</f>
        <v>1860</v>
      </c>
      <c r="G121" s="3"/>
      <c r="H121" s="3">
        <f>VLOOKUP("Florida, S.",'[1]Raw Data - S-19'!$A$9:$L$135,8,FALSE)</f>
        <v>4180</v>
      </c>
      <c r="I121" s="3"/>
      <c r="J121" s="3">
        <f>VLOOKUP("Florida, S.",'[1]Raw Data - S-19'!$A$9:$L$135,12,FALSE)</f>
        <v>2361</v>
      </c>
      <c r="K121" s="3"/>
    </row>
    <row r="122" spans="1:11" x14ac:dyDescent="0.2">
      <c r="A122" s="1" t="s">
        <v>3</v>
      </c>
      <c r="B122" s="3">
        <f>VLOOKUP("Georgia, N.",'[1]Raw Data - S-19'!$A$9:$L$135,2,FALSE)</f>
        <v>31</v>
      </c>
      <c r="C122" s="3"/>
      <c r="D122" s="3">
        <f>VLOOKUP("Georgia, N.",'[1]Raw Data - S-19'!$A$9:$L$135,3,FALSE)</f>
        <v>28</v>
      </c>
      <c r="E122" s="3"/>
      <c r="F122" s="3">
        <f>VLOOKUP("Georgia, N.",'[1]Raw Data - S-19'!$A$9:$L$135,7,FALSE)</f>
        <v>1914</v>
      </c>
      <c r="G122" s="3"/>
      <c r="H122" s="3">
        <f>VLOOKUP("Georgia, N.",'[1]Raw Data - S-19'!$A$9:$L$135,8,FALSE)</f>
        <v>3003</v>
      </c>
      <c r="I122" s="3"/>
      <c r="J122" s="3">
        <f>VLOOKUP("Georgia, N.",'[1]Raw Data - S-19'!$A$9:$L$135,12,FALSE)</f>
        <v>5085</v>
      </c>
      <c r="K122" s="3"/>
    </row>
    <row r="123" spans="1:11" x14ac:dyDescent="0.2">
      <c r="A123" s="1" t="s">
        <v>2</v>
      </c>
      <c r="B123" s="3">
        <f>VLOOKUP("Georgia, M.",'[1]Raw Data - S-19'!$A$9:$L$135,2,FALSE)</f>
        <v>0</v>
      </c>
      <c r="C123" s="3"/>
      <c r="D123" s="3">
        <f>VLOOKUP("Georgia, M.",'[1]Raw Data - S-19'!$A$9:$L$135,3,FALSE)</f>
        <v>12</v>
      </c>
      <c r="E123" s="3"/>
      <c r="F123" s="3">
        <f>VLOOKUP("Georgia, M.",'[1]Raw Data - S-19'!$A$9:$L$135,7,FALSE)</f>
        <v>418</v>
      </c>
      <c r="G123" s="3"/>
      <c r="H123" s="3">
        <f>VLOOKUP("Georgia, M.",'[1]Raw Data - S-19'!$A$9:$L$135,8,FALSE)</f>
        <v>834</v>
      </c>
      <c r="I123" s="3"/>
      <c r="J123" s="3">
        <f>VLOOKUP("Georgia, M.",'[1]Raw Data - S-19'!$A$9:$L$135,12,FALSE)</f>
        <v>0</v>
      </c>
      <c r="K123" s="3"/>
    </row>
    <row r="124" spans="1:11" x14ac:dyDescent="0.2">
      <c r="A124" s="1" t="s">
        <v>1</v>
      </c>
      <c r="B124" s="3">
        <f>VLOOKUP("Georgia, S.",'[1]Raw Data - S-19'!$A$9:$L$135,2,FALSE)</f>
        <v>0</v>
      </c>
      <c r="C124" s="3"/>
      <c r="D124" s="3">
        <f>VLOOKUP("Georgia, S.",'[1]Raw Data - S-19'!$A$9:$L$135,3,FALSE)</f>
        <v>8</v>
      </c>
      <c r="E124" s="3"/>
      <c r="F124" s="3">
        <f>VLOOKUP("Georgia, S.",'[1]Raw Data - S-19'!$A$9:$L$135,7,FALSE)</f>
        <v>3</v>
      </c>
      <c r="G124" s="3"/>
      <c r="H124" s="3">
        <f>VLOOKUP("Georgia, S.",'[1]Raw Data - S-19'!$A$9:$L$135,8,FALSE)</f>
        <v>1810</v>
      </c>
      <c r="I124" s="3"/>
      <c r="J124" s="3">
        <f>VLOOKUP("Georgia, S.",'[1]Raw Data - S-19'!$A$9:$L$135,12,FALSE)</f>
        <v>0</v>
      </c>
      <c r="K124" s="3"/>
    </row>
    <row r="125" spans="1:1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1.4" x14ac:dyDescent="0.2">
      <c r="A126" s="1" t="s">
        <v>0</v>
      </c>
    </row>
  </sheetData>
  <mergeCells count="24">
    <mergeCell ref="F6:I6"/>
    <mergeCell ref="A6:A7"/>
    <mergeCell ref="A88:A89"/>
    <mergeCell ref="B88:E88"/>
    <mergeCell ref="F88:I88"/>
    <mergeCell ref="F89:G89"/>
    <mergeCell ref="B7:C7"/>
    <mergeCell ref="D7:E7"/>
    <mergeCell ref="F44:G44"/>
    <mergeCell ref="H44:I44"/>
    <mergeCell ref="D89:E89"/>
    <mergeCell ref="H89:I89"/>
    <mergeCell ref="F7:G7"/>
    <mergeCell ref="H7:I7"/>
    <mergeCell ref="J88:K89"/>
    <mergeCell ref="B89:C89"/>
    <mergeCell ref="B6:E6"/>
    <mergeCell ref="A43:A44"/>
    <mergeCell ref="B43:E43"/>
    <mergeCell ref="F43:I43"/>
    <mergeCell ref="J43:K44"/>
    <mergeCell ref="B44:C44"/>
    <mergeCell ref="D44:E44"/>
    <mergeCell ref="J6:K7"/>
  </mergeCells>
  <conditionalFormatting sqref="B8 F8 J8 J10 F10 B10 B16 F16 J16 J23 J30 F23 F30 B23 B30">
    <cfRule type="cellIs" dxfId="8" priority="9" operator="equal">
      <formula>"ERROR"</formula>
    </cfRule>
  </conditionalFormatting>
  <conditionalFormatting sqref="B74 F74 J74 J65 F65 B65 B55 F55 J55 J45 F45 B45">
    <cfRule type="cellIs" dxfId="7" priority="8" operator="equal">
      <formula>"ERROR"</formula>
    </cfRule>
  </conditionalFormatting>
  <conditionalFormatting sqref="B90 F90 J90 J106 F106 B106 B115 F115 J115">
    <cfRule type="cellIs" dxfId="6" priority="7" operator="equal">
      <formula>"ERROR"</formula>
    </cfRule>
  </conditionalFormatting>
  <conditionalFormatting sqref="D8 D10 D16 D30 D23">
    <cfRule type="cellIs" dxfId="5" priority="6" operator="equal">
      <formula>"ERROR"</formula>
    </cfRule>
  </conditionalFormatting>
  <conditionalFormatting sqref="D74 D65 D55 D45">
    <cfRule type="cellIs" dxfId="4" priority="5" operator="equal">
      <formula>"ERROR"</formula>
    </cfRule>
  </conditionalFormatting>
  <conditionalFormatting sqref="D90 D106 D115">
    <cfRule type="cellIs" dxfId="3" priority="4" operator="equal">
      <formula>"ERROR"</formula>
    </cfRule>
  </conditionalFormatting>
  <conditionalFormatting sqref="H8 H10 H16 H30 H23">
    <cfRule type="cellIs" dxfId="2" priority="3" operator="equal">
      <formula>"ERROR"</formula>
    </cfRule>
  </conditionalFormatting>
  <conditionalFormatting sqref="H74 H65 H55 H45">
    <cfRule type="cellIs" dxfId="1" priority="2" operator="equal">
      <formula>"ERROR"</formula>
    </cfRule>
  </conditionalFormatting>
  <conditionalFormatting sqref="H90 H106 H115">
    <cfRule type="cellIs" dxfId="0" priority="1" operator="equal">
      <formula>"ERROR"</formula>
    </cfRule>
  </conditionalFormatting>
  <printOptions horizontalCentered="1"/>
  <pageMargins left="0.4" right="0.4" top="0.5" bottom="0.5" header="0.3" footer="0.3"/>
  <pageSetup fitToHeight="0" orientation="landscape" r:id="rId1"/>
  <headerFooter alignWithMargins="0">
    <oddFooter>&amp;R&amp;"Arial,Regular"&amp;8Page &amp;P of &amp;N</oddFooter>
  </headerFooter>
  <rowBreaks count="2" manualBreakCount="2">
    <brk id="39" max="16383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 - S-19</vt:lpstr>
      <vt:lpstr>'Formatted Report - S-19'!Print_Area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Anjanie Desai</dc:creator>
  <cp:lastModifiedBy>Anjanie Desai</cp:lastModifiedBy>
  <dcterms:created xsi:type="dcterms:W3CDTF">2022-12-08T15:33:40Z</dcterms:created>
  <dcterms:modified xsi:type="dcterms:W3CDTF">2022-12-08T15:38:57Z</dcterms:modified>
</cp:coreProperties>
</file>